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52139C7A-CB94-4858-95C3-728ACB33F572}" xr6:coauthVersionLast="43" xr6:coauthVersionMax="43" xr10:uidLastSave="{00000000-0000-0000-0000-000000000000}"/>
  <bookViews>
    <workbookView xWindow="-108" yWindow="-108" windowWidth="23256" windowHeight="12576" xr2:uid="{5D43FFE1-5385-465B-98F1-930483BC50E9}"/>
  </bookViews>
  <sheets>
    <sheet name="NPAEs" sheetId="3" r:id="rId1"/>
    <sheet name="2015" sheetId="4" r:id="rId2"/>
    <sheet name="2016" sheetId="1" r:id="rId3"/>
    <sheet name="2017" sheetId="2" r:id="rId4"/>
    <sheet name="2018" sheetId="5" r:id="rId5"/>
  </sheets>
  <definedNames>
    <definedName name="_xlnm._FilterDatabase" localSheetId="2" hidden="1">'2016'!$A$9:$J$9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5" l="1"/>
  <c r="F19" i="2"/>
  <c r="F18" i="2"/>
  <c r="F18" i="1"/>
  <c r="F17" i="1"/>
  <c r="F16" i="1"/>
  <c r="F15" i="1"/>
  <c r="F14" i="1"/>
  <c r="F13" i="1"/>
  <c r="F12" i="1"/>
  <c r="F11" i="1"/>
  <c r="F17" i="2"/>
  <c r="F16" i="2"/>
  <c r="F15" i="2"/>
  <c r="F14" i="2"/>
  <c r="F13" i="2"/>
  <c r="F12" i="2"/>
  <c r="F11" i="2"/>
  <c r="F17" i="5"/>
  <c r="F16" i="5"/>
  <c r="F15" i="5"/>
  <c r="F14" i="5"/>
  <c r="F13" i="5"/>
  <c r="F12" i="5"/>
  <c r="F11" i="5"/>
  <c r="F17" i="4"/>
  <c r="F16" i="4"/>
  <c r="F15" i="4"/>
  <c r="F14" i="4"/>
  <c r="F13" i="4"/>
  <c r="F12" i="4"/>
  <c r="F11" i="4"/>
  <c r="F10" i="1"/>
  <c r="F10" i="2"/>
  <c r="F10" i="5"/>
  <c r="F10" i="4"/>
  <c r="G6" i="4" l="1"/>
  <c r="G6" i="1"/>
  <c r="G6" i="2"/>
  <c r="G6" i="5"/>
  <c r="I10" i="4" l="1"/>
  <c r="I11" i="4"/>
  <c r="J11" i="4" s="1"/>
  <c r="I12" i="4"/>
  <c r="J12" i="4" s="1"/>
  <c r="I13" i="4"/>
  <c r="J13" i="4" s="1"/>
  <c r="I14" i="4"/>
  <c r="J14" i="4" s="1"/>
  <c r="I15" i="4"/>
  <c r="J15" i="4" s="1"/>
  <c r="I16" i="4"/>
  <c r="J16" i="4" s="1"/>
  <c r="I17" i="4"/>
  <c r="J17" i="4" s="1"/>
  <c r="J10" i="4" l="1"/>
  <c r="G39" i="3" l="1"/>
  <c r="F39" i="3" s="1"/>
  <c r="E39" i="3" s="1"/>
  <c r="G30" i="3"/>
  <c r="F30" i="3" s="1"/>
  <c r="E30" i="3" s="1"/>
  <c r="G21" i="3"/>
  <c r="F21" i="3" s="1"/>
  <c r="E21" i="3" s="1"/>
  <c r="I18" i="5"/>
  <c r="J18" i="5" s="1"/>
  <c r="H18" i="5"/>
  <c r="G18" i="5"/>
  <c r="I17" i="5"/>
  <c r="J17" i="5" s="1"/>
  <c r="H17" i="5"/>
  <c r="G17" i="5"/>
  <c r="I16" i="5"/>
  <c r="J16" i="5" s="1"/>
  <c r="H16" i="5"/>
  <c r="G16" i="5"/>
  <c r="I15" i="5"/>
  <c r="J15" i="5" s="1"/>
  <c r="H15" i="5"/>
  <c r="G15" i="5"/>
  <c r="I14" i="5"/>
  <c r="J14" i="5" s="1"/>
  <c r="H14" i="5"/>
  <c r="G14" i="5"/>
  <c r="I13" i="5"/>
  <c r="J13" i="5" s="1"/>
  <c r="H13" i="5"/>
  <c r="G13" i="5"/>
  <c r="I12" i="5"/>
  <c r="H12" i="5"/>
  <c r="G12" i="5"/>
  <c r="I11" i="5"/>
  <c r="J11" i="5" s="1"/>
  <c r="H11" i="5"/>
  <c r="G11" i="5"/>
  <c r="I10" i="5"/>
  <c r="H10" i="5"/>
  <c r="G10" i="5"/>
  <c r="K9" i="5"/>
  <c r="I18" i="1"/>
  <c r="J18" i="1" s="1"/>
  <c r="H18" i="1"/>
  <c r="G18" i="1"/>
  <c r="I17" i="1"/>
  <c r="J17" i="1" s="1"/>
  <c r="H17" i="1"/>
  <c r="G17" i="1"/>
  <c r="I16" i="1"/>
  <c r="J16" i="1" s="1"/>
  <c r="H16" i="1"/>
  <c r="G16" i="1"/>
  <c r="I15" i="1"/>
  <c r="J15" i="1" s="1"/>
  <c r="H15" i="1"/>
  <c r="G15" i="1"/>
  <c r="I14" i="1"/>
  <c r="H14" i="1"/>
  <c r="G14" i="1"/>
  <c r="I13" i="1"/>
  <c r="J13" i="1" s="1"/>
  <c r="H13" i="1"/>
  <c r="G13" i="1"/>
  <c r="I12" i="1"/>
  <c r="J12" i="1" s="1"/>
  <c r="H12" i="1"/>
  <c r="G12" i="1"/>
  <c r="I11" i="1"/>
  <c r="J11" i="1" s="1"/>
  <c r="H11" i="1"/>
  <c r="G11" i="1"/>
  <c r="I10" i="1"/>
  <c r="J10" i="1" s="1"/>
  <c r="H10" i="1"/>
  <c r="G10" i="1"/>
  <c r="K9" i="1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K9" i="4"/>
  <c r="J14" i="1" l="1"/>
  <c r="K14" i="1" s="1"/>
  <c r="J12" i="5"/>
  <c r="K12" i="5" s="1"/>
  <c r="J10" i="5"/>
  <c r="K10" i="5" s="1"/>
  <c r="K13" i="1"/>
  <c r="K14" i="4"/>
  <c r="K17" i="4"/>
  <c r="K13" i="4"/>
  <c r="K15" i="4"/>
  <c r="K10" i="1"/>
  <c r="K18" i="1"/>
  <c r="K14" i="5"/>
  <c r="K17" i="1"/>
  <c r="K11" i="1"/>
  <c r="K16" i="5"/>
  <c r="K15" i="1"/>
  <c r="K16" i="4"/>
  <c r="K11" i="4"/>
  <c r="K10" i="4"/>
  <c r="K12" i="4"/>
  <c r="K16" i="1"/>
  <c r="K12" i="1"/>
  <c r="K17" i="5"/>
  <c r="K15" i="5"/>
  <c r="K18" i="5"/>
  <c r="K13" i="5"/>
  <c r="K11" i="5"/>
  <c r="K19" i="5" l="1"/>
  <c r="G44" i="3" s="1"/>
  <c r="G41" i="3" s="1"/>
  <c r="K18" i="4"/>
  <c r="E22" i="3" s="1"/>
  <c r="K19" i="1"/>
  <c r="E26" i="3" s="1"/>
  <c r="F22" i="3" s="1"/>
  <c r="G26" i="3" l="1"/>
  <c r="G35" i="3"/>
  <c r="G32" i="3" s="1"/>
  <c r="E23" i="3"/>
  <c r="K9" i="2" l="1"/>
  <c r="I19" i="2"/>
  <c r="J19" i="2" s="1"/>
  <c r="H19" i="2"/>
  <c r="G19" i="2"/>
  <c r="I18" i="2"/>
  <c r="H18" i="2"/>
  <c r="G18" i="2"/>
  <c r="I17" i="2"/>
  <c r="J17" i="2" s="1"/>
  <c r="H17" i="2"/>
  <c r="G17" i="2"/>
  <c r="I16" i="2"/>
  <c r="H16" i="2"/>
  <c r="G16" i="2"/>
  <c r="I15" i="2"/>
  <c r="J15" i="2" s="1"/>
  <c r="H15" i="2"/>
  <c r="G15" i="2"/>
  <c r="I14" i="2"/>
  <c r="J14" i="2" s="1"/>
  <c r="H14" i="2"/>
  <c r="G14" i="2"/>
  <c r="I13" i="2"/>
  <c r="H13" i="2"/>
  <c r="G13" i="2"/>
  <c r="I12" i="2"/>
  <c r="J12" i="2" s="1"/>
  <c r="H12" i="2"/>
  <c r="G12" i="2"/>
  <c r="I11" i="2"/>
  <c r="J11" i="2" s="1"/>
  <c r="H11" i="2"/>
  <c r="G11" i="2"/>
  <c r="I10" i="2"/>
  <c r="H10" i="2"/>
  <c r="G10" i="2"/>
  <c r="J10" i="2" l="1"/>
  <c r="K10" i="2" s="1"/>
  <c r="J18" i="2"/>
  <c r="K18" i="2" s="1"/>
  <c r="J13" i="2"/>
  <c r="K13" i="2" s="1"/>
  <c r="J16" i="2"/>
  <c r="K16" i="2" s="1"/>
  <c r="K19" i="2"/>
  <c r="K17" i="2"/>
  <c r="K15" i="2"/>
  <c r="K11" i="2"/>
  <c r="K14" i="2"/>
  <c r="K12" i="2"/>
  <c r="K20" i="2" l="1"/>
  <c r="F26" i="3" s="1"/>
  <c r="G22" i="3" l="1"/>
  <c r="G23" i="3" s="1"/>
  <c r="F23" i="3"/>
</calcChain>
</file>

<file path=xl/sharedStrings.xml><?xml version="1.0" encoding="utf-8"?>
<sst xmlns="http://schemas.openxmlformats.org/spreadsheetml/2006/main" count="245" uniqueCount="80">
  <si>
    <t>เงื่อนไขเงินชดเชย ตามร่างพระราชบัญญัติคุ้มครองแรงงานฉบับใหม่</t>
  </si>
  <si>
    <t>อายุงานรวมจนถึงเกษียณอายุ</t>
  </si>
  <si>
    <t>เงินชดเชย</t>
  </si>
  <si>
    <t>ครบ 1 ปี แต่ไม่ครบ 3 ปี</t>
  </si>
  <si>
    <t>ครบ 120 วัน แต่ไม่ครบ 1 ปี</t>
  </si>
  <si>
    <t>ครบ 3 ปี แต่ไม่ครบ 6 ปี</t>
  </si>
  <si>
    <t>ครบ 6 ปี แต่ไม่ครบ 10 ปี</t>
  </si>
  <si>
    <t>ครบ 10 ปี แต่ไม่ครบ 20 ปี</t>
  </si>
  <si>
    <t>ครบ 20 ปี หรือมากกว่า</t>
  </si>
  <si>
    <t>ข้อมูลพนักงาน</t>
  </si>
  <si>
    <t>รหัสพนักงาน</t>
  </si>
  <si>
    <t>วันเกิด</t>
  </si>
  <si>
    <t>วันเข้าทำงาน</t>
  </si>
  <si>
    <t>อายุเกษียณ</t>
  </si>
  <si>
    <t>เงินเดือนปัจจุบัน</t>
  </si>
  <si>
    <t>อายุงาน</t>
  </si>
  <si>
    <t>อายุงานทั้งหมดที่เป็นไปได้</t>
  </si>
  <si>
    <t>เงื่อนไขตามร่างกฎหมาย</t>
  </si>
  <si>
    <t>ABS001</t>
  </si>
  <si>
    <t>ABS002</t>
  </si>
  <si>
    <t>ABS003</t>
  </si>
  <si>
    <t>ABS004</t>
  </si>
  <si>
    <t>ABS005</t>
  </si>
  <si>
    <t>ABS006</t>
  </si>
  <si>
    <t>ABS007</t>
  </si>
  <si>
    <t>ABS008</t>
  </si>
  <si>
    <t>ABS009</t>
  </si>
  <si>
    <t>ABS010</t>
  </si>
  <si>
    <t>02-May-1995</t>
  </si>
  <si>
    <t>16-Apr-1984</t>
  </si>
  <si>
    <t>05-Jun-1965</t>
  </si>
  <si>
    <t>27-Jun-1996</t>
  </si>
  <si>
    <t>25-Dec-1990</t>
  </si>
  <si>
    <t>02-Feb-1998</t>
  </si>
  <si>
    <t>02-Oct-1977</t>
  </si>
  <si>
    <t>17-Jan-1965</t>
  </si>
  <si>
    <t>20-Nov-1965</t>
  </si>
  <si>
    <t>19-Nov-1975</t>
  </si>
  <si>
    <t>01-Jul-2015</t>
  </si>
  <si>
    <t>วันประเมิน</t>
  </si>
  <si>
    <t>Total</t>
  </si>
  <si>
    <t>ไม่ครบ 120 วัน</t>
  </si>
  <si>
    <t>การพิสูจน์ยอดหนี้สิน (สินทรัพย์) ที่กำหนดไว้สุทธิ</t>
  </si>
  <si>
    <t>หนี้สิน (สินทรัพย์) ผลประโยชน์ที่กำหนดไว้สุทธิ ณ ต้นปีงบประมาณ</t>
  </si>
  <si>
    <t>ต้นทุนของผลประโยชน์ที่กำหนดไว้ในกำไรหรือขาดทุน</t>
  </si>
  <si>
    <t>การจ่ายเงินสมทบของนายจ้าง</t>
  </si>
  <si>
    <t>จำนวนที่กลับรายการบัญชี</t>
  </si>
  <si>
    <t>หนี้สิน (สินทรัพย์) ผลประโยชน์ที่กำหนดไว้สุทธิ ณ สิ้นปีงบประมาณ</t>
  </si>
  <si>
    <t>คำอธิบายประกอบการคำนวณ</t>
  </si>
  <si>
    <t>วิธีการใช้งาน Worksheet</t>
  </si>
  <si>
    <t>กรอกตัวเลขยอดยกมาจากปีงบประมาณก่อนหน้า</t>
  </si>
  <si>
    <t>1. กรอกข้อมูลทั้งหมดในช่องที่เป็นสีส้ม</t>
  </si>
  <si>
    <t>วันประเมินภาระผูกพัน</t>
  </si>
  <si>
    <t>ชื่อบริษัท</t>
  </si>
  <si>
    <t>การคำนวณภาระผูกพันผลประโยชน์พนักงาน</t>
  </si>
  <si>
    <t>2. เลือกวิธีการบันทึกบัญชี ดังนี้</t>
  </si>
  <si>
    <t>2.2 ในกรณีที่ คำนวณครั้งแรก และต้องการรับรู้ค่าใช้จ่ายทั้งหมดในปี ให้กรอกข้อมูลพนักงานเฉพาะปีล่าสุดเท่านั้น</t>
  </si>
  <si>
    <t>2.3 ในกรณีที่เคยบันทึกบัญชีแล้ว ให้กรอกข้อมูลพนักงานเฉพาะปีล่าสุดเท่านั้น และกรอกตัวเลขยอดยกมาจากปีงบประมาณก่อนหน้า</t>
  </si>
  <si>
    <t>1. กรอกวันประเมินภาระผูกพัน</t>
  </si>
  <si>
    <t>Turnover rate</t>
  </si>
  <si>
    <t>พนักงานลาออก</t>
  </si>
  <si>
    <t>คำนวณอัตราหมุนเวียนพนักงาน</t>
  </si>
  <si>
    <t>4. กรอกข้อมูลพนักงานในช่องสีส้มทั้งหมด</t>
  </si>
  <si>
    <t>พนักงาน ณ ต้นปี</t>
  </si>
  <si>
    <t>2. กรอกจำนวนพนักงาน ณ ต้นปีงบประมาณ</t>
  </si>
  <si>
    <t>3. กรอกจำนวนพนักงานลาออกโดยสมัครใจ (ไม่นับรวมคนที่เข้าและออกในปีงบประมาณเดียวกัน)</t>
  </si>
  <si>
    <t>3. Worksheet การคำนวณนี้ มีการฝังสูตรสถิติไว้เท่านั้น ไม่ได้มีการใช้สมมติฐานทางคณิตศาสตร์ประกันภัย เช่น อัตรามรณะ อัตราการขึ้นเงินเดือน หรือ อัตราคิดลด แต่อย่างใด</t>
  </si>
  <si>
    <t xml:space="preserve">1. Worksheet การคำนวณนี้ อ้างอิงถึง การคำนวณตามมาตรฐาน TFRS for NPAEs บทที่ 16 การประมาณการหนี้สินและหนี้สินที่อาจเกิดขึ้น </t>
  </si>
  <si>
    <t>2. Worksheet การคำนวณนี้ เป็นการคำนวณอย่างย่อ โดยวิธีการประมาณการที่ดีที่สุด ตามมาตรฐาน TFRS for NPAEs ย่อหน้า 310-312 โดยไม่ได้ใช้หลักคณิตศาสตร์ประกันภัย</t>
  </si>
  <si>
    <t>4. โปรดใช้ดุลยพินิจในการคำนวณและการลงบัญชีทุกครั้ง ทั้งนี้ ทาง ABS ไม่ได้มีส่วนรับผิดชอบกับผลลัพธ์ที่เกิดขึ้น ไม่ว่าจะเป็นการตั้งหนี้สินสูงไปหรือต่ำเกินไป</t>
  </si>
  <si>
    <t>4. กรอกข้อมูลพนักงานในช่องสีเหลืองทั้งหมด</t>
  </si>
  <si>
    <t>ความน่าจะเป็นที่อยู่จนเกษียณอายุ</t>
  </si>
  <si>
    <t>อายุปัจจุบัน</t>
  </si>
  <si>
    <t>สมมติฐานคณิตศาสตร์ประกันภัยจะต้องทำสถิติอย่างละเอียดตามช่วงอายุ และใช้วิจารณญาณของนักคณิตศาสตร์ประกันภัยในการตั้ง</t>
  </si>
  <si>
    <t>5. เมื่อจำนวนพนักงานหรือการประมาณการหนี้สินภาระผูกพันผลประโยชน์พนักงานเริ่มมีนัยสำคัญกับบริษัท ควรปรึกษาผู้สอบบัญชีเพื่อใช้การคำนวณตามหลักคณิตศาสตร์ประกันภัย</t>
  </si>
  <si>
    <t>6. ทาง ABS ขอสงวนสิทธิ์ ไม่อนุญาตให้นำมาดัดแปลง ตัดต่อ หรือนำไปใช้ในการพาณิชย์ประการใด เว้นแต่จะได้รับการยินยอมเป็นลายลักษณ์อักษร</t>
  </si>
  <si>
    <t>หากคำนวณตามหลักคณิตศาสตร์ประกันภัย สมมติฐานอัตราการหมุนเวียนพนักงานจะต้องทำสถิติอย่างละเอียดตามช่วงอายุ และใช้วิจารณญาณของนักคณิตศาสตร์ประกันภัยในการตั้ง</t>
  </si>
  <si>
    <t>2.1 ในกรณีที่ คำนวณครั้งแรก และต้องการปรับปรุงงบย้อนหลัง (Restatement) ให้กรอกข้อมูลย้อนหลังไปจนถึงปีที่ต้องการปรับปรุงงบ</t>
  </si>
  <si>
    <t>(Click!!!)</t>
  </si>
  <si>
    <t>7. ศึกษาเพิ่มเติมเกี่ยวกับการคำนวณผลประโยชน์พนักงานได้ที่ www.actuarialbiz.com/th/knowledge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</si>
</sst>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[$-409]d\-mmm\-yyyy;@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8"/>
      <color theme="1"/>
      <name val="Tahoma"/>
      <family val="2"/>
      <charset val="222"/>
      <scheme val="minor"/>
    </font>
    <font>
      <b/>
      <sz val="9"/>
      <color rgb="FFFF0000"/>
      <name val="Tahoma"/>
      <family val="2"/>
      <scheme val="minor"/>
    </font>
    <font>
      <b/>
      <sz val="9"/>
      <color theme="0"/>
      <name val="Tahoma"/>
      <family val="2"/>
      <scheme val="minor"/>
    </font>
    <font>
      <b/>
      <sz val="11"/>
      <color theme="0"/>
      <name val="Tahoma"/>
      <family val="2"/>
      <scheme val="minor"/>
    </font>
    <font>
      <b/>
      <sz val="9"/>
      <color theme="1"/>
      <name val="Tahoma"/>
      <family val="2"/>
      <scheme val="minor"/>
    </font>
    <font>
      <sz val="9"/>
      <color theme="1"/>
      <name val="Tahoma"/>
      <family val="2"/>
      <scheme val="minor"/>
    </font>
    <font>
      <i/>
      <sz val="9"/>
      <color theme="1"/>
      <name val="Tahoma"/>
      <family val="2"/>
      <scheme val="minor"/>
    </font>
    <font>
      <b/>
      <sz val="9"/>
      <color indexed="10"/>
      <name val="Tahoma"/>
      <family val="2"/>
      <scheme val="minor"/>
    </font>
    <font>
      <b/>
      <sz val="9"/>
      <color indexed="8"/>
      <name val="Tahoma"/>
      <family val="2"/>
      <scheme val="minor"/>
    </font>
    <font>
      <b/>
      <sz val="15.5"/>
      <color theme="1"/>
      <name val="Angsana New"/>
      <family val="1"/>
    </font>
    <font>
      <sz val="15.5"/>
      <color theme="1"/>
      <name val="Angsana New"/>
      <family val="1"/>
    </font>
    <font>
      <u/>
      <sz val="11"/>
      <color theme="10"/>
      <name val="Tahoma"/>
      <family val="2"/>
      <charset val="222"/>
      <scheme val="minor"/>
    </font>
    <font>
      <u/>
      <sz val="11"/>
      <color rgb="FFFF0000"/>
      <name val="Tahoma"/>
      <family val="2"/>
      <charset val="22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188" fontId="2" fillId="4" borderId="0" xfId="0" applyNumberFormat="1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188" fontId="6" fillId="2" borderId="1" xfId="0" applyNumberFormat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indent="1"/>
    </xf>
    <xf numFmtId="0" fontId="7" fillId="0" borderId="6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/>
    </xf>
    <xf numFmtId="0" fontId="7" fillId="3" borderId="0" xfId="0" applyFont="1" applyFill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187" fontId="7" fillId="0" borderId="0" xfId="1" applyNumberFormat="1" applyFont="1" applyAlignment="1">
      <alignment vertical="center"/>
    </xf>
    <xf numFmtId="187" fontId="7" fillId="3" borderId="0" xfId="1" applyNumberFormat="1" applyFont="1" applyFill="1" applyAlignment="1">
      <alignment vertical="center"/>
    </xf>
    <xf numFmtId="187" fontId="7" fillId="0" borderId="5" xfId="1" applyNumberFormat="1" applyFont="1" applyBorder="1" applyAlignment="1">
      <alignment vertical="center"/>
    </xf>
    <xf numFmtId="187" fontId="7" fillId="2" borderId="0" xfId="1" applyNumberFormat="1" applyFont="1" applyFill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188" fontId="7" fillId="2" borderId="0" xfId="0" applyNumberFormat="1" applyFont="1" applyFill="1" applyAlignment="1">
      <alignment horizontal="center" vertical="center"/>
    </xf>
    <xf numFmtId="188" fontId="7" fillId="2" borderId="3" xfId="0" applyNumberFormat="1" applyFont="1" applyFill="1" applyBorder="1" applyAlignment="1">
      <alignment horizontal="center" vertical="center"/>
    </xf>
    <xf numFmtId="187" fontId="7" fillId="2" borderId="0" xfId="1" applyNumberFormat="1" applyFont="1" applyFill="1" applyAlignment="1">
      <alignment horizontal="center" vertical="center"/>
    </xf>
    <xf numFmtId="9" fontId="7" fillId="0" borderId="0" xfId="2" applyFont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187" fontId="6" fillId="0" borderId="3" xfId="0" applyNumberFormat="1" applyFont="1" applyBorder="1" applyAlignment="1">
      <alignment vertical="center"/>
    </xf>
    <xf numFmtId="0" fontId="6" fillId="0" borderId="4" xfId="0" applyFont="1" applyBorder="1" applyAlignment="1">
      <alignment horizontal="centerContinuous" vertical="center"/>
    </xf>
    <xf numFmtId="0" fontId="6" fillId="0" borderId="5" xfId="0" applyFont="1" applyBorder="1" applyAlignment="1">
      <alignment horizontal="centerContinuous" vertical="center"/>
    </xf>
    <xf numFmtId="187" fontId="6" fillId="0" borderId="4" xfId="0" applyNumberFormat="1" applyFont="1" applyBorder="1" applyAlignment="1">
      <alignment vertical="center"/>
    </xf>
    <xf numFmtId="188" fontId="7" fillId="0" borderId="0" xfId="0" applyNumberFormat="1" applyFont="1" applyAlignment="1">
      <alignment vertical="center"/>
    </xf>
    <xf numFmtId="188" fontId="6" fillId="0" borderId="2" xfId="0" applyNumberFormat="1" applyFont="1" applyBorder="1" applyAlignment="1">
      <alignment horizontal="center" vertical="center" wrapText="1"/>
    </xf>
    <xf numFmtId="188" fontId="6" fillId="0" borderId="1" xfId="0" applyNumberFormat="1" applyFont="1" applyBorder="1" applyAlignment="1">
      <alignment horizontal="center" vertical="center" wrapText="1"/>
    </xf>
    <xf numFmtId="188" fontId="6" fillId="0" borderId="5" xfId="0" applyNumberFormat="1" applyFont="1" applyBorder="1" applyAlignment="1">
      <alignment horizontal="centerContinuous" vertical="center"/>
    </xf>
    <xf numFmtId="188" fontId="6" fillId="0" borderId="4" xfId="0" applyNumberFormat="1" applyFont="1" applyBorder="1" applyAlignment="1">
      <alignment horizontal="centerContinuous"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88" fontId="10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indent="2"/>
    </xf>
    <xf numFmtId="0" fontId="9" fillId="0" borderId="0" xfId="0" applyFont="1" applyAlignment="1">
      <alignment horizontal="left" vertical="center" indent="2"/>
    </xf>
    <xf numFmtId="0" fontId="7" fillId="2" borderId="1" xfId="0" applyFont="1" applyFill="1" applyBorder="1" applyAlignment="1">
      <alignment vertical="center"/>
    </xf>
    <xf numFmtId="9" fontId="6" fillId="0" borderId="1" xfId="2" applyFont="1" applyBorder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3" applyAlignment="1">
      <alignment vertical="center"/>
    </xf>
    <xf numFmtId="9" fontId="10" fillId="0" borderId="1" xfId="2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14" fillId="0" borderId="0" xfId="3" applyFont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</xdr:colOff>
      <xdr:row>38</xdr:row>
      <xdr:rowOff>175260</xdr:rowOff>
    </xdr:from>
    <xdr:to>
      <xdr:col>7</xdr:col>
      <xdr:colOff>228600</xdr:colOff>
      <xdr:row>40</xdr:row>
      <xdr:rowOff>30480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EDA12D78-6A62-4655-8424-12881B668305}"/>
            </a:ext>
          </a:extLst>
        </xdr:cNvPr>
        <xdr:cNvSpPr/>
      </xdr:nvSpPr>
      <xdr:spPr>
        <a:xfrm>
          <a:off x="5280660" y="5890260"/>
          <a:ext cx="198120" cy="236220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975360</xdr:colOff>
      <xdr:row>2</xdr:row>
      <xdr:rowOff>60960</xdr:rowOff>
    </xdr:from>
    <xdr:to>
      <xdr:col>7</xdr:col>
      <xdr:colOff>236220</xdr:colOff>
      <xdr:row>7</xdr:row>
      <xdr:rowOff>220980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B2010252-794A-43E9-A85C-D4CE0D1D1617}"/>
            </a:ext>
          </a:extLst>
        </xdr:cNvPr>
        <xdr:cNvGrpSpPr/>
      </xdr:nvGrpSpPr>
      <xdr:grpSpPr>
        <a:xfrm>
          <a:off x="2019300" y="693420"/>
          <a:ext cx="5524500" cy="1417320"/>
          <a:chOff x="2019300" y="693420"/>
          <a:chExt cx="5524500" cy="1417320"/>
        </a:xfrm>
      </xdr:grpSpPr>
      <xdr:sp macro="" textlink="">
        <xdr:nvSpPr>
          <xdr:cNvPr id="5" name="Arrow: Left 4">
            <a:extLst>
              <a:ext uri="{FF2B5EF4-FFF2-40B4-BE49-F238E27FC236}">
                <a16:creationId xmlns:a16="http://schemas.microsoft.com/office/drawing/2014/main" id="{59EC27C7-3733-4342-8C4C-9ACD7E905220}"/>
              </a:ext>
            </a:extLst>
          </xdr:cNvPr>
          <xdr:cNvSpPr/>
        </xdr:nvSpPr>
        <xdr:spPr>
          <a:xfrm>
            <a:off x="7368540" y="952500"/>
            <a:ext cx="175260" cy="144780"/>
          </a:xfrm>
          <a:prstGeom prst="leftArrow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h-TH" sz="1100"/>
          </a:p>
        </xdr:txBody>
      </xdr:sp>
      <xdr:sp macro="" textlink="">
        <xdr:nvSpPr>
          <xdr:cNvPr id="6" name="Arrow: Left 5">
            <a:extLst>
              <a:ext uri="{FF2B5EF4-FFF2-40B4-BE49-F238E27FC236}">
                <a16:creationId xmlns:a16="http://schemas.microsoft.com/office/drawing/2014/main" id="{F60ABE3E-826E-4D8C-8AC8-84CF9E90AAEF}"/>
              </a:ext>
            </a:extLst>
          </xdr:cNvPr>
          <xdr:cNvSpPr/>
        </xdr:nvSpPr>
        <xdr:spPr>
          <a:xfrm>
            <a:off x="7368540" y="1196340"/>
            <a:ext cx="175260" cy="144780"/>
          </a:xfrm>
          <a:prstGeom prst="leftArrow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h-TH" sz="1100"/>
          </a:p>
        </xdr:txBody>
      </xdr:sp>
      <xdr:sp macro="" textlink="">
        <xdr:nvSpPr>
          <xdr:cNvPr id="7" name="Arrow: Left 6">
            <a:extLst>
              <a:ext uri="{FF2B5EF4-FFF2-40B4-BE49-F238E27FC236}">
                <a16:creationId xmlns:a16="http://schemas.microsoft.com/office/drawing/2014/main" id="{E76C731A-D06C-4763-88D3-DDD936789147}"/>
              </a:ext>
            </a:extLst>
          </xdr:cNvPr>
          <xdr:cNvSpPr/>
        </xdr:nvSpPr>
        <xdr:spPr>
          <a:xfrm>
            <a:off x="2164080" y="693420"/>
            <a:ext cx="175260" cy="144780"/>
          </a:xfrm>
          <a:prstGeom prst="leftArrow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h-TH" sz="1100"/>
          </a:p>
        </xdr:txBody>
      </xdr:sp>
      <xdr:sp macro="" textlink="">
        <xdr:nvSpPr>
          <xdr:cNvPr id="8" name="Arrow: Left 7">
            <a:extLst>
              <a:ext uri="{FF2B5EF4-FFF2-40B4-BE49-F238E27FC236}">
                <a16:creationId xmlns:a16="http://schemas.microsoft.com/office/drawing/2014/main" id="{FE06CD8C-9E8A-49A2-B136-2D6490520F58}"/>
              </a:ext>
            </a:extLst>
          </xdr:cNvPr>
          <xdr:cNvSpPr/>
        </xdr:nvSpPr>
        <xdr:spPr>
          <a:xfrm rot="16200000">
            <a:off x="2004060" y="1950720"/>
            <a:ext cx="175260" cy="144780"/>
          </a:xfrm>
          <a:prstGeom prst="leftArrow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h-TH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975360</xdr:colOff>
      <xdr:row>2</xdr:row>
      <xdr:rowOff>60960</xdr:rowOff>
    </xdr:from>
    <xdr:to>
      <xdr:col>7</xdr:col>
      <xdr:colOff>236220</xdr:colOff>
      <xdr:row>7</xdr:row>
      <xdr:rowOff>220980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5F75B9F5-5FB8-440E-9E80-2A2398F586AF}"/>
            </a:ext>
          </a:extLst>
        </xdr:cNvPr>
        <xdr:cNvGrpSpPr/>
      </xdr:nvGrpSpPr>
      <xdr:grpSpPr>
        <a:xfrm>
          <a:off x="2019300" y="693420"/>
          <a:ext cx="5524500" cy="1417320"/>
          <a:chOff x="2019300" y="693420"/>
          <a:chExt cx="5524500" cy="1417320"/>
        </a:xfrm>
      </xdr:grpSpPr>
      <xdr:sp macro="" textlink="">
        <xdr:nvSpPr>
          <xdr:cNvPr id="7" name="Arrow: Left 6">
            <a:extLst>
              <a:ext uri="{FF2B5EF4-FFF2-40B4-BE49-F238E27FC236}">
                <a16:creationId xmlns:a16="http://schemas.microsoft.com/office/drawing/2014/main" id="{F1C7DE06-27FC-4E55-9C00-E8C02518948B}"/>
              </a:ext>
            </a:extLst>
          </xdr:cNvPr>
          <xdr:cNvSpPr/>
        </xdr:nvSpPr>
        <xdr:spPr>
          <a:xfrm>
            <a:off x="7368540" y="952500"/>
            <a:ext cx="175260" cy="144780"/>
          </a:xfrm>
          <a:prstGeom prst="leftArrow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h-TH" sz="1100"/>
          </a:p>
        </xdr:txBody>
      </xdr:sp>
      <xdr:sp macro="" textlink="">
        <xdr:nvSpPr>
          <xdr:cNvPr id="8" name="Arrow: Left 7">
            <a:extLst>
              <a:ext uri="{FF2B5EF4-FFF2-40B4-BE49-F238E27FC236}">
                <a16:creationId xmlns:a16="http://schemas.microsoft.com/office/drawing/2014/main" id="{37C64902-567D-4F18-AF52-72A5F3A43D32}"/>
              </a:ext>
            </a:extLst>
          </xdr:cNvPr>
          <xdr:cNvSpPr/>
        </xdr:nvSpPr>
        <xdr:spPr>
          <a:xfrm>
            <a:off x="7368540" y="1196340"/>
            <a:ext cx="175260" cy="144780"/>
          </a:xfrm>
          <a:prstGeom prst="leftArrow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h-TH" sz="1100"/>
          </a:p>
        </xdr:txBody>
      </xdr:sp>
      <xdr:sp macro="" textlink="">
        <xdr:nvSpPr>
          <xdr:cNvPr id="9" name="Arrow: Left 8">
            <a:extLst>
              <a:ext uri="{FF2B5EF4-FFF2-40B4-BE49-F238E27FC236}">
                <a16:creationId xmlns:a16="http://schemas.microsoft.com/office/drawing/2014/main" id="{A3D2431F-A8CE-4402-AA58-A5061CF94B24}"/>
              </a:ext>
            </a:extLst>
          </xdr:cNvPr>
          <xdr:cNvSpPr/>
        </xdr:nvSpPr>
        <xdr:spPr>
          <a:xfrm>
            <a:off x="2164080" y="693420"/>
            <a:ext cx="175260" cy="144780"/>
          </a:xfrm>
          <a:prstGeom prst="leftArrow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h-TH" sz="1100"/>
          </a:p>
        </xdr:txBody>
      </xdr:sp>
      <xdr:sp macro="" textlink="">
        <xdr:nvSpPr>
          <xdr:cNvPr id="10" name="Arrow: Left 9">
            <a:extLst>
              <a:ext uri="{FF2B5EF4-FFF2-40B4-BE49-F238E27FC236}">
                <a16:creationId xmlns:a16="http://schemas.microsoft.com/office/drawing/2014/main" id="{CB37F07D-43D4-41C8-8DBC-39B366DA48BE}"/>
              </a:ext>
            </a:extLst>
          </xdr:cNvPr>
          <xdr:cNvSpPr/>
        </xdr:nvSpPr>
        <xdr:spPr>
          <a:xfrm rot="16200000">
            <a:off x="2004060" y="1950720"/>
            <a:ext cx="175260" cy="144780"/>
          </a:xfrm>
          <a:prstGeom prst="leftArrow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h-TH" sz="11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975360</xdr:colOff>
      <xdr:row>2</xdr:row>
      <xdr:rowOff>60960</xdr:rowOff>
    </xdr:from>
    <xdr:to>
      <xdr:col>7</xdr:col>
      <xdr:colOff>236220</xdr:colOff>
      <xdr:row>7</xdr:row>
      <xdr:rowOff>220980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F2D1811F-9B5E-4E78-9C5A-74111C499311}"/>
            </a:ext>
          </a:extLst>
        </xdr:cNvPr>
        <xdr:cNvGrpSpPr/>
      </xdr:nvGrpSpPr>
      <xdr:grpSpPr>
        <a:xfrm>
          <a:off x="2019300" y="693420"/>
          <a:ext cx="5524500" cy="1417320"/>
          <a:chOff x="2019300" y="693420"/>
          <a:chExt cx="5524500" cy="1417320"/>
        </a:xfrm>
      </xdr:grpSpPr>
      <xdr:sp macro="" textlink="">
        <xdr:nvSpPr>
          <xdr:cNvPr id="7" name="Arrow: Left 6">
            <a:extLst>
              <a:ext uri="{FF2B5EF4-FFF2-40B4-BE49-F238E27FC236}">
                <a16:creationId xmlns:a16="http://schemas.microsoft.com/office/drawing/2014/main" id="{61585DD9-2ECD-40BC-A215-9DAF2EF92BBD}"/>
              </a:ext>
            </a:extLst>
          </xdr:cNvPr>
          <xdr:cNvSpPr/>
        </xdr:nvSpPr>
        <xdr:spPr>
          <a:xfrm>
            <a:off x="7368540" y="952500"/>
            <a:ext cx="175260" cy="144780"/>
          </a:xfrm>
          <a:prstGeom prst="leftArrow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h-TH" sz="1100"/>
          </a:p>
        </xdr:txBody>
      </xdr:sp>
      <xdr:sp macro="" textlink="">
        <xdr:nvSpPr>
          <xdr:cNvPr id="8" name="Arrow: Left 7">
            <a:extLst>
              <a:ext uri="{FF2B5EF4-FFF2-40B4-BE49-F238E27FC236}">
                <a16:creationId xmlns:a16="http://schemas.microsoft.com/office/drawing/2014/main" id="{FD34F0A8-BD38-45AE-9A99-DF6AFABB637E}"/>
              </a:ext>
            </a:extLst>
          </xdr:cNvPr>
          <xdr:cNvSpPr/>
        </xdr:nvSpPr>
        <xdr:spPr>
          <a:xfrm>
            <a:off x="7368540" y="1196340"/>
            <a:ext cx="175260" cy="144780"/>
          </a:xfrm>
          <a:prstGeom prst="leftArrow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h-TH" sz="1100"/>
          </a:p>
        </xdr:txBody>
      </xdr:sp>
      <xdr:sp macro="" textlink="">
        <xdr:nvSpPr>
          <xdr:cNvPr id="9" name="Arrow: Left 8">
            <a:extLst>
              <a:ext uri="{FF2B5EF4-FFF2-40B4-BE49-F238E27FC236}">
                <a16:creationId xmlns:a16="http://schemas.microsoft.com/office/drawing/2014/main" id="{5D6DD62C-7505-4AEC-8605-9078622C22EC}"/>
              </a:ext>
            </a:extLst>
          </xdr:cNvPr>
          <xdr:cNvSpPr/>
        </xdr:nvSpPr>
        <xdr:spPr>
          <a:xfrm>
            <a:off x="2164080" y="693420"/>
            <a:ext cx="175260" cy="144780"/>
          </a:xfrm>
          <a:prstGeom prst="leftArrow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h-TH" sz="1100"/>
          </a:p>
        </xdr:txBody>
      </xdr:sp>
      <xdr:sp macro="" textlink="">
        <xdr:nvSpPr>
          <xdr:cNvPr id="10" name="Arrow: Left 9">
            <a:extLst>
              <a:ext uri="{FF2B5EF4-FFF2-40B4-BE49-F238E27FC236}">
                <a16:creationId xmlns:a16="http://schemas.microsoft.com/office/drawing/2014/main" id="{D7D6922F-B054-4775-8C14-C9DFDBC9EA48}"/>
              </a:ext>
            </a:extLst>
          </xdr:cNvPr>
          <xdr:cNvSpPr/>
        </xdr:nvSpPr>
        <xdr:spPr>
          <a:xfrm rot="16200000">
            <a:off x="2004060" y="1950720"/>
            <a:ext cx="175260" cy="144780"/>
          </a:xfrm>
          <a:prstGeom prst="leftArrow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h-TH" sz="110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975360</xdr:colOff>
      <xdr:row>2</xdr:row>
      <xdr:rowOff>60960</xdr:rowOff>
    </xdr:from>
    <xdr:to>
      <xdr:col>7</xdr:col>
      <xdr:colOff>236220</xdr:colOff>
      <xdr:row>7</xdr:row>
      <xdr:rowOff>220980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A2710CCA-75A2-4C28-A830-71E43E8E635F}"/>
            </a:ext>
          </a:extLst>
        </xdr:cNvPr>
        <xdr:cNvGrpSpPr/>
      </xdr:nvGrpSpPr>
      <xdr:grpSpPr>
        <a:xfrm>
          <a:off x="2019300" y="693420"/>
          <a:ext cx="5524500" cy="1417320"/>
          <a:chOff x="2019300" y="693420"/>
          <a:chExt cx="5524500" cy="1417320"/>
        </a:xfrm>
      </xdr:grpSpPr>
      <xdr:sp macro="" textlink="">
        <xdr:nvSpPr>
          <xdr:cNvPr id="8" name="Arrow: Left 7">
            <a:extLst>
              <a:ext uri="{FF2B5EF4-FFF2-40B4-BE49-F238E27FC236}">
                <a16:creationId xmlns:a16="http://schemas.microsoft.com/office/drawing/2014/main" id="{643E5C68-3E5D-460C-9595-684CF0D806B5}"/>
              </a:ext>
            </a:extLst>
          </xdr:cNvPr>
          <xdr:cNvSpPr/>
        </xdr:nvSpPr>
        <xdr:spPr>
          <a:xfrm>
            <a:off x="7368540" y="952500"/>
            <a:ext cx="175260" cy="144780"/>
          </a:xfrm>
          <a:prstGeom prst="leftArrow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h-TH" sz="1100"/>
          </a:p>
        </xdr:txBody>
      </xdr:sp>
      <xdr:sp macro="" textlink="">
        <xdr:nvSpPr>
          <xdr:cNvPr id="9" name="Arrow: Left 8">
            <a:extLst>
              <a:ext uri="{FF2B5EF4-FFF2-40B4-BE49-F238E27FC236}">
                <a16:creationId xmlns:a16="http://schemas.microsoft.com/office/drawing/2014/main" id="{2BE088E0-2E87-4E3B-A1FE-717929652185}"/>
              </a:ext>
            </a:extLst>
          </xdr:cNvPr>
          <xdr:cNvSpPr/>
        </xdr:nvSpPr>
        <xdr:spPr>
          <a:xfrm>
            <a:off x="7368540" y="1196340"/>
            <a:ext cx="175260" cy="144780"/>
          </a:xfrm>
          <a:prstGeom prst="leftArrow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h-TH" sz="1100"/>
          </a:p>
        </xdr:txBody>
      </xdr:sp>
      <xdr:sp macro="" textlink="">
        <xdr:nvSpPr>
          <xdr:cNvPr id="10" name="Arrow: Left 9">
            <a:extLst>
              <a:ext uri="{FF2B5EF4-FFF2-40B4-BE49-F238E27FC236}">
                <a16:creationId xmlns:a16="http://schemas.microsoft.com/office/drawing/2014/main" id="{24729A5F-11A5-4B2B-AB8F-CBA5F5D95577}"/>
              </a:ext>
            </a:extLst>
          </xdr:cNvPr>
          <xdr:cNvSpPr/>
        </xdr:nvSpPr>
        <xdr:spPr>
          <a:xfrm>
            <a:off x="2164080" y="693420"/>
            <a:ext cx="175260" cy="144780"/>
          </a:xfrm>
          <a:prstGeom prst="leftArrow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h-TH" sz="1100"/>
          </a:p>
        </xdr:txBody>
      </xdr:sp>
      <xdr:sp macro="" textlink="">
        <xdr:nvSpPr>
          <xdr:cNvPr id="11" name="Arrow: Left 10">
            <a:extLst>
              <a:ext uri="{FF2B5EF4-FFF2-40B4-BE49-F238E27FC236}">
                <a16:creationId xmlns:a16="http://schemas.microsoft.com/office/drawing/2014/main" id="{753B6BA4-C792-4265-B3C7-5489ADCC75FB}"/>
              </a:ext>
            </a:extLst>
          </xdr:cNvPr>
          <xdr:cNvSpPr/>
        </xdr:nvSpPr>
        <xdr:spPr>
          <a:xfrm rot="16200000">
            <a:off x="2004060" y="1950720"/>
            <a:ext cx="175260" cy="144780"/>
          </a:xfrm>
          <a:prstGeom prst="leftArrow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h-TH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ctuarialbiz.com/th/knowledg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82723-DD2B-45B9-A5B7-1C171F0F0A2A}">
  <dimension ref="A1:N49"/>
  <sheetViews>
    <sheetView tabSelected="1" zoomScaleNormal="100" workbookViewId="0">
      <selection activeCell="G15" sqref="G15"/>
    </sheetView>
  </sheetViews>
  <sheetFormatPr defaultRowHeight="15" customHeight="1" x14ac:dyDescent="0.25"/>
  <cols>
    <col min="1" max="2" width="3.3984375" style="1" customWidth="1"/>
    <col min="3" max="3" width="12.69921875" style="1" customWidth="1"/>
    <col min="4" max="4" width="33.3984375" style="1" customWidth="1"/>
    <col min="5" max="7" width="8.796875" style="1"/>
    <col min="8" max="8" width="3.3984375" style="1" customWidth="1"/>
    <col min="9" max="10" width="8.796875" style="1"/>
    <col min="11" max="11" width="24.296875" style="1" customWidth="1"/>
    <col min="12" max="12" width="24.296875" style="1" hidden="1" customWidth="1"/>
    <col min="13" max="13" width="24.296875" style="1" customWidth="1"/>
    <col min="14" max="16384" width="8.796875" style="1"/>
  </cols>
  <sheetData>
    <row r="1" spans="1:14" s="4" customFormat="1" ht="30" customHeight="1" x14ac:dyDescent="0.25">
      <c r="A1" s="4" t="s">
        <v>54</v>
      </c>
    </row>
    <row r="2" spans="1:14" ht="15" customHeight="1" x14ac:dyDescent="0.25">
      <c r="N2" s="7"/>
    </row>
    <row r="3" spans="1:14" s="7" customFormat="1" ht="19.95" customHeight="1" x14ac:dyDescent="0.25">
      <c r="A3" s="60" t="s">
        <v>53</v>
      </c>
      <c r="B3" s="60"/>
      <c r="C3" s="60"/>
      <c r="D3" s="6"/>
    </row>
    <row r="4" spans="1:14" s="7" customFormat="1" ht="19.95" customHeight="1" x14ac:dyDescent="0.25">
      <c r="A4" s="60" t="s">
        <v>52</v>
      </c>
      <c r="B4" s="60"/>
      <c r="C4" s="60"/>
      <c r="D4" s="8">
        <v>43465</v>
      </c>
    </row>
    <row r="5" spans="1:14" s="7" customFormat="1" ht="19.95" customHeight="1" x14ac:dyDescent="0.25"/>
    <row r="6" spans="1:14" s="7" customFormat="1" ht="19.95" customHeight="1" x14ac:dyDescent="0.25">
      <c r="A6" s="45" t="s">
        <v>48</v>
      </c>
      <c r="B6" s="45"/>
    </row>
    <row r="7" spans="1:14" s="7" customFormat="1" ht="19.95" customHeight="1" x14ac:dyDescent="0.25">
      <c r="A7" s="7" t="s">
        <v>67</v>
      </c>
      <c r="N7" s="12"/>
    </row>
    <row r="8" spans="1:14" s="7" customFormat="1" ht="19.95" customHeight="1" x14ac:dyDescent="0.25">
      <c r="A8" s="7" t="s">
        <v>68</v>
      </c>
    </row>
    <row r="9" spans="1:14" s="7" customFormat="1" ht="19.95" customHeight="1" x14ac:dyDescent="0.25">
      <c r="A9" s="7" t="s">
        <v>66</v>
      </c>
    </row>
    <row r="10" spans="1:14" s="7" customFormat="1" ht="19.95" customHeight="1" x14ac:dyDescent="0.25">
      <c r="A10" s="7" t="s">
        <v>69</v>
      </c>
    </row>
    <row r="11" spans="1:14" s="7" customFormat="1" ht="19.95" customHeight="1" x14ac:dyDescent="0.25">
      <c r="A11" s="7" t="s">
        <v>74</v>
      </c>
    </row>
    <row r="12" spans="1:14" s="7" customFormat="1" ht="19.95" customHeight="1" x14ac:dyDescent="0.25">
      <c r="A12" s="7" t="s">
        <v>75</v>
      </c>
    </row>
    <row r="13" spans="1:14" s="7" customFormat="1" ht="19.95" customHeight="1" x14ac:dyDescent="0.25">
      <c r="A13" s="7" t="s">
        <v>79</v>
      </c>
      <c r="F13" s="62" t="s">
        <v>78</v>
      </c>
    </row>
    <row r="14" spans="1:14" s="7" customFormat="1" ht="19.95" customHeight="1" x14ac:dyDescent="0.25"/>
    <row r="15" spans="1:14" s="7" customFormat="1" ht="19.95" customHeight="1" x14ac:dyDescent="0.25">
      <c r="A15" s="45" t="s">
        <v>49</v>
      </c>
      <c r="B15" s="45"/>
      <c r="K15" s="54" t="s">
        <v>0</v>
      </c>
      <c r="L15" s="55"/>
      <c r="M15" s="55"/>
    </row>
    <row r="16" spans="1:14" s="7" customFormat="1" ht="19.95" customHeight="1" x14ac:dyDescent="0.25">
      <c r="A16" s="7" t="s">
        <v>51</v>
      </c>
      <c r="K16" s="9" t="s">
        <v>1</v>
      </c>
      <c r="L16" s="10"/>
      <c r="M16" s="11" t="s">
        <v>2</v>
      </c>
    </row>
    <row r="17" spans="1:13" s="7" customFormat="1" ht="19.95" customHeight="1" x14ac:dyDescent="0.25">
      <c r="K17" s="13" t="s">
        <v>41</v>
      </c>
      <c r="L17" s="7">
        <v>0</v>
      </c>
      <c r="M17" s="14">
        <v>0</v>
      </c>
    </row>
    <row r="18" spans="1:13" s="7" customFormat="1" ht="19.95" customHeight="1" x14ac:dyDescent="0.25">
      <c r="A18" s="7" t="s">
        <v>55</v>
      </c>
      <c r="K18" s="13" t="s">
        <v>4</v>
      </c>
      <c r="L18" s="7">
        <v>0.33</v>
      </c>
      <c r="M18" s="14">
        <v>1</v>
      </c>
    </row>
    <row r="19" spans="1:13" s="7" customFormat="1" ht="19.95" customHeight="1" x14ac:dyDescent="0.25">
      <c r="B19" s="7" t="s">
        <v>77</v>
      </c>
      <c r="K19" s="13" t="s">
        <v>3</v>
      </c>
      <c r="L19" s="7">
        <v>1</v>
      </c>
      <c r="M19" s="14">
        <v>3</v>
      </c>
    </row>
    <row r="20" spans="1:13" s="7" customFormat="1" ht="19.95" customHeight="1" x14ac:dyDescent="0.25">
      <c r="A20" s="18"/>
      <c r="B20" s="18"/>
      <c r="C20" s="19" t="s">
        <v>42</v>
      </c>
      <c r="K20" s="13" t="s">
        <v>5</v>
      </c>
      <c r="L20" s="7">
        <v>3</v>
      </c>
      <c r="M20" s="14">
        <v>6</v>
      </c>
    </row>
    <row r="21" spans="1:13" s="7" customFormat="1" ht="19.95" customHeight="1" x14ac:dyDescent="0.25">
      <c r="C21" s="20"/>
      <c r="D21" s="20"/>
      <c r="E21" s="21">
        <f>F21-1</f>
        <v>2016</v>
      </c>
      <c r="F21" s="21">
        <f>G21-1</f>
        <v>2017</v>
      </c>
      <c r="G21" s="21">
        <f>YEAR($D$4)</f>
        <v>2018</v>
      </c>
      <c r="K21" s="13" t="s">
        <v>6</v>
      </c>
      <c r="L21" s="7">
        <v>6</v>
      </c>
      <c r="M21" s="14">
        <v>8</v>
      </c>
    </row>
    <row r="22" spans="1:13" s="7" customFormat="1" ht="19.95" customHeight="1" x14ac:dyDescent="0.25">
      <c r="C22" s="7" t="s">
        <v>43</v>
      </c>
      <c r="E22" s="22">
        <f>'2015'!$K$18</f>
        <v>87307.46660237592</v>
      </c>
      <c r="F22" s="22">
        <f>E26</f>
        <v>265642.16523922648</v>
      </c>
      <c r="G22" s="22">
        <f>F26</f>
        <v>456556.67363770277</v>
      </c>
      <c r="K22" s="13" t="s">
        <v>7</v>
      </c>
      <c r="L22" s="7">
        <v>10</v>
      </c>
      <c r="M22" s="14">
        <v>10</v>
      </c>
    </row>
    <row r="23" spans="1:13" s="7" customFormat="1" ht="19.95" customHeight="1" x14ac:dyDescent="0.25">
      <c r="C23" s="20" t="s">
        <v>44</v>
      </c>
      <c r="D23" s="20"/>
      <c r="E23" s="23">
        <f>E26-E22</f>
        <v>178334.69863685057</v>
      </c>
      <c r="F23" s="23">
        <f t="shared" ref="F23:G23" si="0">F26-F22</f>
        <v>190914.50839847629</v>
      </c>
      <c r="G23" s="23">
        <f t="shared" si="0"/>
        <v>157540.64949182881</v>
      </c>
      <c r="K23" s="15" t="s">
        <v>8</v>
      </c>
      <c r="L23" s="16">
        <v>20</v>
      </c>
      <c r="M23" s="17">
        <v>13.33</v>
      </c>
    </row>
    <row r="24" spans="1:13" s="7" customFormat="1" ht="19.95" customHeight="1" x14ac:dyDescent="0.25">
      <c r="C24" s="7" t="s">
        <v>45</v>
      </c>
      <c r="E24" s="22"/>
      <c r="F24" s="22"/>
      <c r="G24" s="22"/>
    </row>
    <row r="25" spans="1:13" s="7" customFormat="1" ht="19.95" customHeight="1" x14ac:dyDescent="0.25">
      <c r="C25" s="20" t="s">
        <v>46</v>
      </c>
      <c r="D25" s="20"/>
      <c r="E25" s="23"/>
      <c r="F25" s="23"/>
      <c r="G25" s="23"/>
    </row>
    <row r="26" spans="1:13" s="7" customFormat="1" ht="19.95" customHeight="1" thickBot="1" x14ac:dyDescent="0.3">
      <c r="C26" s="7" t="s">
        <v>47</v>
      </c>
      <c r="E26" s="24">
        <f>'2016'!$K$19</f>
        <v>265642.16523922648</v>
      </c>
      <c r="F26" s="24">
        <f>'2017'!$K$20</f>
        <v>456556.67363770277</v>
      </c>
      <c r="G26" s="24">
        <f>'2018'!$K$19</f>
        <v>614097.32312953158</v>
      </c>
    </row>
    <row r="27" spans="1:13" s="7" customFormat="1" ht="19.95" customHeight="1" thickTop="1" x14ac:dyDescent="0.25"/>
    <row r="28" spans="1:13" s="7" customFormat="1" ht="19.95" customHeight="1" x14ac:dyDescent="0.25">
      <c r="B28" s="7" t="s">
        <v>56</v>
      </c>
    </row>
    <row r="29" spans="1:13" s="7" customFormat="1" ht="19.95" customHeight="1" x14ac:dyDescent="0.25">
      <c r="C29" s="19" t="s">
        <v>42</v>
      </c>
    </row>
    <row r="30" spans="1:13" s="7" customFormat="1" ht="19.95" customHeight="1" x14ac:dyDescent="0.25">
      <c r="C30" s="20"/>
      <c r="D30" s="20"/>
      <c r="E30" s="21">
        <f>F30-1</f>
        <v>2016</v>
      </c>
      <c r="F30" s="21">
        <f>G30-1</f>
        <v>2017</v>
      </c>
      <c r="G30" s="21">
        <f>YEAR($D$4)</f>
        <v>2018</v>
      </c>
    </row>
    <row r="31" spans="1:13" s="7" customFormat="1" ht="19.95" customHeight="1" x14ac:dyDescent="0.25">
      <c r="C31" s="7" t="s">
        <v>43</v>
      </c>
      <c r="E31" s="22">
        <v>0</v>
      </c>
      <c r="F31" s="22">
        <v>0</v>
      </c>
      <c r="G31" s="22">
        <v>0</v>
      </c>
    </row>
    <row r="32" spans="1:13" s="7" customFormat="1" ht="19.95" customHeight="1" x14ac:dyDescent="0.25">
      <c r="C32" s="20" t="s">
        <v>44</v>
      </c>
      <c r="D32" s="20"/>
      <c r="E32" s="23">
        <v>0</v>
      </c>
      <c r="F32" s="23">
        <v>0</v>
      </c>
      <c r="G32" s="23">
        <f t="shared" ref="G32" si="1">G35-G31</f>
        <v>614097.32312953158</v>
      </c>
    </row>
    <row r="33" spans="1:13" s="7" customFormat="1" ht="19.95" customHeight="1" x14ac:dyDescent="0.25">
      <c r="C33" s="7" t="s">
        <v>45</v>
      </c>
      <c r="E33" s="22"/>
      <c r="F33" s="22"/>
      <c r="G33" s="22"/>
    </row>
    <row r="34" spans="1:13" s="7" customFormat="1" ht="19.95" customHeight="1" x14ac:dyDescent="0.25">
      <c r="C34" s="20" t="s">
        <v>46</v>
      </c>
      <c r="D34" s="20"/>
      <c r="E34" s="23"/>
      <c r="F34" s="23"/>
      <c r="G34" s="23"/>
    </row>
    <row r="35" spans="1:13" s="7" customFormat="1" ht="19.95" customHeight="1" thickBot="1" x14ac:dyDescent="0.3">
      <c r="C35" s="7" t="s">
        <v>47</v>
      </c>
      <c r="E35" s="24">
        <v>0</v>
      </c>
      <c r="F35" s="24">
        <v>0</v>
      </c>
      <c r="G35" s="24">
        <f>'2018'!$K$19</f>
        <v>614097.32312953158</v>
      </c>
    </row>
    <row r="36" spans="1:13" s="7" customFormat="1" ht="19.95" customHeight="1" thickTop="1" x14ac:dyDescent="0.25"/>
    <row r="37" spans="1:13" s="7" customFormat="1" ht="19.95" customHeight="1" x14ac:dyDescent="0.25">
      <c r="B37" s="7" t="s">
        <v>57</v>
      </c>
    </row>
    <row r="38" spans="1:13" s="7" customFormat="1" ht="19.95" customHeight="1" x14ac:dyDescent="0.25">
      <c r="C38" s="19" t="s">
        <v>42</v>
      </c>
    </row>
    <row r="39" spans="1:13" s="7" customFormat="1" ht="19.95" customHeight="1" x14ac:dyDescent="0.25">
      <c r="C39" s="20"/>
      <c r="D39" s="20"/>
      <c r="E39" s="21">
        <f>F39-1</f>
        <v>2016</v>
      </c>
      <c r="F39" s="21">
        <f>G39-1</f>
        <v>2017</v>
      </c>
      <c r="G39" s="21">
        <f>YEAR($D$4)</f>
        <v>2018</v>
      </c>
    </row>
    <row r="40" spans="1:13" s="7" customFormat="1" ht="19.95" customHeight="1" x14ac:dyDescent="0.25">
      <c r="C40" s="7" t="s">
        <v>43</v>
      </c>
      <c r="E40" s="22">
        <v>0</v>
      </c>
      <c r="F40" s="22">
        <v>0</v>
      </c>
      <c r="G40" s="25">
        <v>650000</v>
      </c>
      <c r="I40" s="2" t="s">
        <v>50</v>
      </c>
    </row>
    <row r="41" spans="1:13" s="7" customFormat="1" ht="19.95" customHeight="1" x14ac:dyDescent="0.25">
      <c r="C41" s="20" t="s">
        <v>44</v>
      </c>
      <c r="D41" s="20"/>
      <c r="E41" s="23">
        <v>0</v>
      </c>
      <c r="F41" s="23">
        <v>0</v>
      </c>
      <c r="G41" s="23">
        <f t="shared" ref="G41" si="2">G44-G40</f>
        <v>-35902.676870468422</v>
      </c>
    </row>
    <row r="42" spans="1:13" s="7" customFormat="1" ht="19.95" customHeight="1" x14ac:dyDescent="0.25">
      <c r="C42" s="7" t="s">
        <v>45</v>
      </c>
      <c r="E42" s="22"/>
      <c r="F42" s="22"/>
      <c r="G42" s="22"/>
    </row>
    <row r="43" spans="1:13" s="7" customFormat="1" ht="19.95" customHeight="1" x14ac:dyDescent="0.25">
      <c r="C43" s="20" t="s">
        <v>46</v>
      </c>
      <c r="D43" s="20"/>
      <c r="E43" s="23"/>
      <c r="F43" s="23"/>
      <c r="G43" s="23"/>
      <c r="K43" s="1"/>
      <c r="L43" s="1"/>
      <c r="M43" s="1"/>
    </row>
    <row r="44" spans="1:13" s="7" customFormat="1" ht="19.95" customHeight="1" thickBot="1" x14ac:dyDescent="0.3">
      <c r="C44" s="7" t="s">
        <v>47</v>
      </c>
      <c r="E44" s="24">
        <v>0</v>
      </c>
      <c r="F44" s="24">
        <v>0</v>
      </c>
      <c r="G44" s="24">
        <f>'2018'!$K$19</f>
        <v>614097.32312953158</v>
      </c>
      <c r="K44" s="1"/>
      <c r="L44" s="1"/>
      <c r="M44" s="1"/>
    </row>
    <row r="45" spans="1:13" ht="15" customHeight="1" thickTop="1" x14ac:dyDescent="0.25"/>
    <row r="48" spans="1:13" ht="15" customHeight="1" x14ac:dyDescent="0.25">
      <c r="A48" s="56"/>
    </row>
    <row r="49" spans="1:1" ht="15" customHeight="1" x14ac:dyDescent="0.25">
      <c r="A49" s="57"/>
    </row>
  </sheetData>
  <mergeCells count="2">
    <mergeCell ref="A3:C3"/>
    <mergeCell ref="A4:C4"/>
  </mergeCells>
  <hyperlinks>
    <hyperlink ref="F13" r:id="rId1" xr:uid="{1A2B9D35-8233-44F9-B634-A2A01BACFBC7}"/>
  </hyperlinks>
  <pageMargins left="0.7" right="0.7" top="0.75" bottom="0.75" header="0.3" footer="0.3"/>
  <pageSetup paperSize="9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825ED-D9BB-42D3-A6DB-9B7B9EC1811E}">
  <dimension ref="A1:K19"/>
  <sheetViews>
    <sheetView topLeftCell="A3" workbookViewId="0">
      <selection activeCell="F8" sqref="F8"/>
    </sheetView>
  </sheetViews>
  <sheetFormatPr defaultRowHeight="19.95" customHeight="1" x14ac:dyDescent="0.25"/>
  <cols>
    <col min="1" max="11" width="13.69921875" style="7" customWidth="1"/>
    <col min="12" max="16384" width="8.796875" style="7"/>
  </cols>
  <sheetData>
    <row r="1" spans="1:11" s="4" customFormat="1" ht="30" customHeight="1" x14ac:dyDescent="0.25">
      <c r="A1" s="4" t="s">
        <v>54</v>
      </c>
    </row>
    <row r="3" spans="1:11" ht="19.95" customHeight="1" x14ac:dyDescent="0.25">
      <c r="A3" s="47" t="s">
        <v>39</v>
      </c>
      <c r="B3" s="8">
        <v>42369</v>
      </c>
      <c r="C3" s="50" t="s">
        <v>58</v>
      </c>
      <c r="F3" s="61" t="s">
        <v>61</v>
      </c>
      <c r="G3" s="61"/>
    </row>
    <row r="4" spans="1:11" ht="19.95" customHeight="1" x14ac:dyDescent="0.25">
      <c r="A4" s="58"/>
      <c r="F4" s="46" t="s">
        <v>60</v>
      </c>
      <c r="G4" s="52">
        <v>30</v>
      </c>
      <c r="H4" s="50" t="s">
        <v>65</v>
      </c>
    </row>
    <row r="5" spans="1:11" ht="19.95" customHeight="1" x14ac:dyDescent="0.25">
      <c r="F5" s="46" t="s">
        <v>63</v>
      </c>
      <c r="G5" s="52">
        <v>100</v>
      </c>
      <c r="H5" s="50" t="s">
        <v>64</v>
      </c>
    </row>
    <row r="6" spans="1:11" ht="19.95" customHeight="1" x14ac:dyDescent="0.25">
      <c r="F6" s="46" t="s">
        <v>59</v>
      </c>
      <c r="G6" s="53">
        <f>IFERROR(G4/G5,0)</f>
        <v>0.3</v>
      </c>
    </row>
    <row r="7" spans="1:11" ht="19.95" customHeight="1" x14ac:dyDescent="0.25">
      <c r="B7" s="2" t="s">
        <v>70</v>
      </c>
      <c r="F7" s="7" t="s">
        <v>76</v>
      </c>
    </row>
    <row r="8" spans="1:11" ht="19.95" customHeight="1" x14ac:dyDescent="0.25">
      <c r="A8" s="7" t="s">
        <v>9</v>
      </c>
    </row>
    <row r="9" spans="1:11" s="28" customFormat="1" ht="38.549999999999997" customHeight="1" x14ac:dyDescent="0.25">
      <c r="A9" s="26" t="s">
        <v>10</v>
      </c>
      <c r="B9" s="27" t="s">
        <v>11</v>
      </c>
      <c r="C9" s="26" t="s">
        <v>12</v>
      </c>
      <c r="D9" s="27" t="s">
        <v>14</v>
      </c>
      <c r="E9" s="26" t="s">
        <v>13</v>
      </c>
      <c r="F9" s="27" t="s">
        <v>71</v>
      </c>
      <c r="G9" s="26" t="s">
        <v>72</v>
      </c>
      <c r="H9" s="27" t="s">
        <v>15</v>
      </c>
      <c r="I9" s="26" t="s">
        <v>16</v>
      </c>
      <c r="J9" s="27" t="s">
        <v>17</v>
      </c>
      <c r="K9" s="26" t="str">
        <f>"ภาระผูกพัน ณ"&amp;CHAR(10)&amp;TEXT(B3,"dd mmmm yyyy")</f>
        <v>ภาระผูกพัน ณ
31 ธันวาคม 2015</v>
      </c>
    </row>
    <row r="10" spans="1:11" ht="19.95" customHeight="1" x14ac:dyDescent="0.25">
      <c r="A10" s="29" t="s">
        <v>18</v>
      </c>
      <c r="B10" s="30" t="s">
        <v>28</v>
      </c>
      <c r="C10" s="31" t="s">
        <v>38</v>
      </c>
      <c r="D10" s="32">
        <v>44000</v>
      </c>
      <c r="E10" s="29">
        <v>60</v>
      </c>
      <c r="F10" s="33">
        <f>1-$G$6</f>
        <v>0.7</v>
      </c>
      <c r="G10" s="34">
        <f t="shared" ref="G10:H17" si="0">YEARFRAC(B10,$B$3,3)</f>
        <v>20.67945205479452</v>
      </c>
      <c r="H10" s="35">
        <f t="shared" si="0"/>
        <v>0.50136986301369868</v>
      </c>
      <c r="I10" s="34">
        <f t="shared" ref="I10:I17" si="1">E10-YEARFRAC(B10,C10,3)</f>
        <v>39.821917808219183</v>
      </c>
      <c r="J10" s="35">
        <f>VLOOKUP(I10,NPAEs!$L$17:$O$23,2,TRUE)</f>
        <v>13.33</v>
      </c>
      <c r="K10" s="36">
        <f>IFERROR(D10*F10*J10*H10/I10,0)</f>
        <v>5169.1236326109383</v>
      </c>
    </row>
    <row r="11" spans="1:11" ht="19.95" customHeight="1" x14ac:dyDescent="0.25">
      <c r="A11" s="29" t="s">
        <v>19</v>
      </c>
      <c r="B11" s="30" t="s">
        <v>30</v>
      </c>
      <c r="C11" s="31" t="s">
        <v>38</v>
      </c>
      <c r="D11" s="32">
        <v>48000</v>
      </c>
      <c r="E11" s="29">
        <v>57</v>
      </c>
      <c r="F11" s="33">
        <f t="shared" ref="F11:F17" si="2">1-$G$6</f>
        <v>0.7</v>
      </c>
      <c r="G11" s="34">
        <f t="shared" si="0"/>
        <v>50.605479452054794</v>
      </c>
      <c r="H11" s="35">
        <f t="shared" si="0"/>
        <v>0.50136986301369868</v>
      </c>
      <c r="I11" s="34">
        <f t="shared" si="1"/>
        <v>6.8958904109589056</v>
      </c>
      <c r="J11" s="35">
        <f>VLOOKUP(I11,NPAEs!$L$17:$O$23,2,TRUE)</f>
        <v>8</v>
      </c>
      <c r="K11" s="36">
        <f t="shared" ref="K11:K17" si="3">IFERROR(D11*F11*J11*H11/I11,0)</f>
        <v>19543.265792610251</v>
      </c>
    </row>
    <row r="12" spans="1:11" ht="19.95" customHeight="1" x14ac:dyDescent="0.25">
      <c r="A12" s="29" t="s">
        <v>20</v>
      </c>
      <c r="B12" s="30" t="s">
        <v>31</v>
      </c>
      <c r="C12" s="31" t="s">
        <v>38</v>
      </c>
      <c r="D12" s="32">
        <v>33000</v>
      </c>
      <c r="E12" s="29">
        <v>55</v>
      </c>
      <c r="F12" s="33">
        <f t="shared" si="2"/>
        <v>0.7</v>
      </c>
      <c r="G12" s="34">
        <f t="shared" si="0"/>
        <v>19.523287671232875</v>
      </c>
      <c r="H12" s="35">
        <f t="shared" si="0"/>
        <v>0.50136986301369868</v>
      </c>
      <c r="I12" s="34">
        <f t="shared" si="1"/>
        <v>35.978082191780821</v>
      </c>
      <c r="J12" s="35">
        <f>VLOOKUP(I12,NPAEs!$L$17:$O$23,2,TRUE)</f>
        <v>13.33</v>
      </c>
      <c r="K12" s="36">
        <f t="shared" si="3"/>
        <v>4291.0378464818768</v>
      </c>
    </row>
    <row r="13" spans="1:11" ht="19.95" customHeight="1" x14ac:dyDescent="0.25">
      <c r="A13" s="29" t="s">
        <v>21</v>
      </c>
      <c r="B13" s="30" t="s">
        <v>32</v>
      </c>
      <c r="C13" s="31" t="s">
        <v>38</v>
      </c>
      <c r="D13" s="32">
        <v>45000</v>
      </c>
      <c r="E13" s="29">
        <v>60</v>
      </c>
      <c r="F13" s="33">
        <f t="shared" si="2"/>
        <v>0.7</v>
      </c>
      <c r="G13" s="34">
        <f t="shared" si="0"/>
        <v>25.032876712328768</v>
      </c>
      <c r="H13" s="35">
        <f t="shared" si="0"/>
        <v>0.50136986301369868</v>
      </c>
      <c r="I13" s="34">
        <f t="shared" si="1"/>
        <v>35.468493150684935</v>
      </c>
      <c r="J13" s="35">
        <f>VLOOKUP(I13,NPAEs!$L$17:$O$23,2,TRUE)</f>
        <v>13.33</v>
      </c>
      <c r="K13" s="36">
        <f t="shared" si="3"/>
        <v>5935.4847057006018</v>
      </c>
    </row>
    <row r="14" spans="1:11" ht="19.95" customHeight="1" x14ac:dyDescent="0.25">
      <c r="A14" s="29" t="s">
        <v>22</v>
      </c>
      <c r="B14" s="30" t="s">
        <v>34</v>
      </c>
      <c r="C14" s="31" t="s">
        <v>38</v>
      </c>
      <c r="D14" s="32">
        <v>43000</v>
      </c>
      <c r="E14" s="29">
        <v>60</v>
      </c>
      <c r="F14" s="33">
        <f t="shared" si="2"/>
        <v>0.7</v>
      </c>
      <c r="G14" s="34">
        <f t="shared" si="0"/>
        <v>38.271232876712325</v>
      </c>
      <c r="H14" s="35">
        <f t="shared" si="0"/>
        <v>0.50136986301369868</v>
      </c>
      <c r="I14" s="34">
        <f t="shared" si="1"/>
        <v>22.230136986301368</v>
      </c>
      <c r="J14" s="35">
        <f>VLOOKUP(I14,NPAEs!$L$17:$O$23,2,TRUE)</f>
        <v>13.33</v>
      </c>
      <c r="K14" s="36">
        <f t="shared" si="3"/>
        <v>9049.2530194725168</v>
      </c>
    </row>
    <row r="15" spans="1:11" ht="19.95" customHeight="1" x14ac:dyDescent="0.25">
      <c r="A15" s="29" t="s">
        <v>23</v>
      </c>
      <c r="B15" s="30" t="s">
        <v>35</v>
      </c>
      <c r="C15" s="31" t="s">
        <v>38</v>
      </c>
      <c r="D15" s="32">
        <v>50000</v>
      </c>
      <c r="E15" s="29">
        <v>55</v>
      </c>
      <c r="F15" s="33">
        <f t="shared" si="2"/>
        <v>0.7</v>
      </c>
      <c r="G15" s="34">
        <f t="shared" si="0"/>
        <v>50.986301369863014</v>
      </c>
      <c r="H15" s="35">
        <f t="shared" si="0"/>
        <v>0.50136986301369868</v>
      </c>
      <c r="I15" s="34">
        <f t="shared" si="1"/>
        <v>4.5150684931506859</v>
      </c>
      <c r="J15" s="35">
        <f>VLOOKUP(I15,NPAEs!$L$17:$O$23,2,TRUE)</f>
        <v>6</v>
      </c>
      <c r="K15" s="36">
        <f t="shared" si="3"/>
        <v>23319.174757281551</v>
      </c>
    </row>
    <row r="16" spans="1:11" ht="19.95" customHeight="1" x14ac:dyDescent="0.25">
      <c r="A16" s="29" t="s">
        <v>24</v>
      </c>
      <c r="B16" s="30" t="s">
        <v>36</v>
      </c>
      <c r="C16" s="31" t="s">
        <v>38</v>
      </c>
      <c r="D16" s="32">
        <v>28000</v>
      </c>
      <c r="E16" s="29">
        <v>60</v>
      </c>
      <c r="F16" s="33">
        <f t="shared" si="2"/>
        <v>0.7</v>
      </c>
      <c r="G16" s="34">
        <f t="shared" si="0"/>
        <v>50.145205479452052</v>
      </c>
      <c r="H16" s="35">
        <f t="shared" si="0"/>
        <v>0.50136986301369868</v>
      </c>
      <c r="I16" s="34">
        <f t="shared" si="1"/>
        <v>10.356164383561641</v>
      </c>
      <c r="J16" s="35">
        <f>VLOOKUP(I16,NPAEs!$L$17:$O$23,2,TRUE)</f>
        <v>10</v>
      </c>
      <c r="K16" s="36">
        <f t="shared" si="3"/>
        <v>9488.8888888888923</v>
      </c>
    </row>
    <row r="17" spans="1:11" ht="19.95" customHeight="1" x14ac:dyDescent="0.25">
      <c r="A17" s="29" t="s">
        <v>25</v>
      </c>
      <c r="B17" s="30" t="s">
        <v>37</v>
      </c>
      <c r="C17" s="31" t="s">
        <v>38</v>
      </c>
      <c r="D17" s="32">
        <v>46000</v>
      </c>
      <c r="E17" s="29">
        <v>55</v>
      </c>
      <c r="F17" s="33">
        <f t="shared" si="2"/>
        <v>0.7</v>
      </c>
      <c r="G17" s="34">
        <f t="shared" si="0"/>
        <v>40.142465753424659</v>
      </c>
      <c r="H17" s="35">
        <f t="shared" si="0"/>
        <v>0.50136986301369868</v>
      </c>
      <c r="I17" s="34">
        <f t="shared" si="1"/>
        <v>15.358904109589041</v>
      </c>
      <c r="J17" s="35">
        <f>VLOOKUP(I17,NPAEs!$L$17:$O$23,2,TRUE)</f>
        <v>10</v>
      </c>
      <c r="K17" s="36">
        <f t="shared" si="3"/>
        <v>10511.23795932929</v>
      </c>
    </row>
    <row r="18" spans="1:11" ht="19.95" customHeight="1" thickBot="1" x14ac:dyDescent="0.3">
      <c r="A18" s="37" t="s">
        <v>40</v>
      </c>
      <c r="B18" s="38"/>
      <c r="C18" s="37"/>
      <c r="D18" s="38"/>
      <c r="E18" s="37"/>
      <c r="F18" s="38"/>
      <c r="G18" s="37"/>
      <c r="H18" s="38"/>
      <c r="I18" s="37"/>
      <c r="J18" s="38"/>
      <c r="K18" s="39">
        <f>SUM(K10:K17)</f>
        <v>87307.46660237592</v>
      </c>
    </row>
    <row r="19" spans="1:11" ht="19.95" customHeight="1" thickTop="1" x14ac:dyDescent="0.25"/>
  </sheetData>
  <mergeCells count="1">
    <mergeCell ref="F3:G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900AC-14B1-4F1E-8556-EAD1C793D219}">
  <dimension ref="A1:K20"/>
  <sheetViews>
    <sheetView topLeftCell="A10" workbookViewId="0">
      <selection activeCell="F8" sqref="F8"/>
    </sheetView>
  </sheetViews>
  <sheetFormatPr defaultRowHeight="19.95" customHeight="1" x14ac:dyDescent="0.25"/>
  <cols>
    <col min="1" max="1" width="13.69921875" style="7" customWidth="1"/>
    <col min="2" max="3" width="13.69921875" style="40" customWidth="1"/>
    <col min="4" max="11" width="13.69921875" style="7" customWidth="1"/>
    <col min="12" max="16384" width="8.796875" style="7"/>
  </cols>
  <sheetData>
    <row r="1" spans="1:11" s="3" customFormat="1" ht="30" customHeight="1" x14ac:dyDescent="0.25">
      <c r="A1" s="4" t="s">
        <v>54</v>
      </c>
      <c r="B1" s="5"/>
      <c r="C1" s="5"/>
    </row>
    <row r="2" spans="1:11" ht="19.95" customHeight="1" x14ac:dyDescent="0.25">
      <c r="B2" s="7"/>
    </row>
    <row r="3" spans="1:11" ht="19.95" customHeight="1" x14ac:dyDescent="0.25">
      <c r="A3" s="47" t="s">
        <v>39</v>
      </c>
      <c r="B3" s="8">
        <v>42735</v>
      </c>
      <c r="C3" s="51" t="s">
        <v>58</v>
      </c>
      <c r="F3" s="61" t="s">
        <v>61</v>
      </c>
      <c r="G3" s="61"/>
    </row>
    <row r="4" spans="1:11" ht="19.95" customHeight="1" x14ac:dyDescent="0.25">
      <c r="F4" s="46" t="s">
        <v>60</v>
      </c>
      <c r="G4" s="52">
        <v>30</v>
      </c>
      <c r="H4" s="50" t="s">
        <v>65</v>
      </c>
    </row>
    <row r="5" spans="1:11" ht="19.95" customHeight="1" x14ac:dyDescent="0.25">
      <c r="F5" s="46" t="s">
        <v>63</v>
      </c>
      <c r="G5" s="52">
        <v>100</v>
      </c>
      <c r="H5" s="50" t="s">
        <v>64</v>
      </c>
    </row>
    <row r="6" spans="1:11" ht="19.95" customHeight="1" x14ac:dyDescent="0.25">
      <c r="B6" s="7"/>
      <c r="F6" s="46" t="s">
        <v>59</v>
      </c>
      <c r="G6" s="59">
        <f>IFERROR(G4/G5,0)</f>
        <v>0.3</v>
      </c>
    </row>
    <row r="7" spans="1:11" ht="19.95" customHeight="1" x14ac:dyDescent="0.25">
      <c r="B7" s="2" t="s">
        <v>62</v>
      </c>
      <c r="C7" s="7"/>
      <c r="F7" s="7" t="s">
        <v>76</v>
      </c>
      <c r="H7" s="7" t="s">
        <v>73</v>
      </c>
    </row>
    <row r="8" spans="1:11" ht="19.95" customHeight="1" x14ac:dyDescent="0.25">
      <c r="A8" s="7" t="s">
        <v>9</v>
      </c>
    </row>
    <row r="9" spans="1:11" s="28" customFormat="1" ht="38.549999999999997" customHeight="1" x14ac:dyDescent="0.25">
      <c r="A9" s="26" t="s">
        <v>10</v>
      </c>
      <c r="B9" s="41" t="s">
        <v>11</v>
      </c>
      <c r="C9" s="42" t="s">
        <v>12</v>
      </c>
      <c r="D9" s="27" t="s">
        <v>14</v>
      </c>
      <c r="E9" s="26" t="s">
        <v>13</v>
      </c>
      <c r="F9" s="27" t="s">
        <v>71</v>
      </c>
      <c r="G9" s="26" t="s">
        <v>72</v>
      </c>
      <c r="H9" s="27" t="s">
        <v>15</v>
      </c>
      <c r="I9" s="26" t="s">
        <v>16</v>
      </c>
      <c r="J9" s="27" t="s">
        <v>17</v>
      </c>
      <c r="K9" s="26" t="str">
        <f>"ภาระผูกพัน ณ"&amp;CHAR(10)&amp;TEXT(B3,"dd mmmm yyyy")</f>
        <v>ภาระผูกพัน ณ
31 ธันวาคม 2016</v>
      </c>
    </row>
    <row r="10" spans="1:11" ht="19.95" customHeight="1" x14ac:dyDescent="0.25">
      <c r="A10" s="29" t="s">
        <v>18</v>
      </c>
      <c r="B10" s="30" t="s">
        <v>28</v>
      </c>
      <c r="C10" s="31" t="s">
        <v>38</v>
      </c>
      <c r="D10" s="32">
        <v>44000</v>
      </c>
      <c r="E10" s="29">
        <v>60</v>
      </c>
      <c r="F10" s="33">
        <f>1-$G$6</f>
        <v>0.7</v>
      </c>
      <c r="G10" s="34">
        <f t="shared" ref="G10:G18" si="0">YEARFRAC(B10,$B$3,3)</f>
        <v>21.682191780821917</v>
      </c>
      <c r="H10" s="35">
        <f t="shared" ref="H10:H18" si="1">YEARFRAC(C10,$B$3,3)</f>
        <v>1.5041095890410958</v>
      </c>
      <c r="I10" s="34">
        <f t="shared" ref="I10:I18" si="2">E10-YEARFRAC(B10,C10,3)</f>
        <v>39.821917808219183</v>
      </c>
      <c r="J10" s="35">
        <f>VLOOKUP(I10,NPAEs!$L$17:$O$23,2,TRUE)</f>
        <v>13.33</v>
      </c>
      <c r="K10" s="36">
        <f>IFERROR(D10*F10*J10*H10/I10,0)</f>
        <v>15507.370897832812</v>
      </c>
    </row>
    <row r="11" spans="1:11" ht="19.95" customHeight="1" x14ac:dyDescent="0.25">
      <c r="A11" s="29" t="s">
        <v>19</v>
      </c>
      <c r="B11" s="30" t="s">
        <v>30</v>
      </c>
      <c r="C11" s="31" t="s">
        <v>38</v>
      </c>
      <c r="D11" s="32">
        <v>48000</v>
      </c>
      <c r="E11" s="29">
        <v>57</v>
      </c>
      <c r="F11" s="33">
        <f t="shared" ref="F11:F18" si="3">1-$G$6</f>
        <v>0.7</v>
      </c>
      <c r="G11" s="34">
        <f t="shared" si="0"/>
        <v>51.608219178082194</v>
      </c>
      <c r="H11" s="35">
        <f t="shared" si="1"/>
        <v>1.5041095890410958</v>
      </c>
      <c r="I11" s="34">
        <f t="shared" si="2"/>
        <v>6.8958904109589056</v>
      </c>
      <c r="J11" s="35">
        <f>VLOOKUP(I11,NPAEs!$L$17:$O$23,2,TRUE)</f>
        <v>8</v>
      </c>
      <c r="K11" s="36">
        <f t="shared" ref="K11:K18" si="4">IFERROR(D11*F11*J11*H11/I11,0)</f>
        <v>58629.797377830735</v>
      </c>
    </row>
    <row r="12" spans="1:11" ht="19.95" customHeight="1" x14ac:dyDescent="0.25">
      <c r="A12" s="29" t="s">
        <v>20</v>
      </c>
      <c r="B12" s="30" t="s">
        <v>31</v>
      </c>
      <c r="C12" s="31" t="s">
        <v>38</v>
      </c>
      <c r="D12" s="32">
        <v>33000</v>
      </c>
      <c r="E12" s="29">
        <v>55</v>
      </c>
      <c r="F12" s="33">
        <f t="shared" si="3"/>
        <v>0.7</v>
      </c>
      <c r="G12" s="34">
        <f t="shared" si="0"/>
        <v>20.526027397260275</v>
      </c>
      <c r="H12" s="35">
        <f t="shared" si="1"/>
        <v>1.5041095890410958</v>
      </c>
      <c r="I12" s="34">
        <f t="shared" si="2"/>
        <v>35.978082191780821</v>
      </c>
      <c r="J12" s="35">
        <f>VLOOKUP(I12,NPAEs!$L$17:$O$23,2,TRUE)</f>
        <v>13.33</v>
      </c>
      <c r="K12" s="36">
        <f t="shared" si="4"/>
        <v>12873.113539445629</v>
      </c>
    </row>
    <row r="13" spans="1:11" ht="19.95" customHeight="1" x14ac:dyDescent="0.25">
      <c r="A13" s="29" t="s">
        <v>21</v>
      </c>
      <c r="B13" s="30" t="s">
        <v>32</v>
      </c>
      <c r="C13" s="31" t="s">
        <v>38</v>
      </c>
      <c r="D13" s="32">
        <v>45000</v>
      </c>
      <c r="E13" s="29">
        <v>60</v>
      </c>
      <c r="F13" s="33">
        <f t="shared" si="3"/>
        <v>0.7</v>
      </c>
      <c r="G13" s="34">
        <f t="shared" si="0"/>
        <v>26.035616438356165</v>
      </c>
      <c r="H13" s="35">
        <f t="shared" si="1"/>
        <v>1.5041095890410958</v>
      </c>
      <c r="I13" s="34">
        <f t="shared" si="2"/>
        <v>35.468493150684935</v>
      </c>
      <c r="J13" s="35">
        <f>VLOOKUP(I13,NPAEs!$L$17:$O$23,2,TRUE)</f>
        <v>13.33</v>
      </c>
      <c r="K13" s="36">
        <f t="shared" si="4"/>
        <v>17806.454117101803</v>
      </c>
    </row>
    <row r="14" spans="1:11" ht="19.95" customHeight="1" x14ac:dyDescent="0.25">
      <c r="A14" s="29" t="s">
        <v>22</v>
      </c>
      <c r="B14" s="30" t="s">
        <v>34</v>
      </c>
      <c r="C14" s="31" t="s">
        <v>38</v>
      </c>
      <c r="D14" s="32">
        <v>43000</v>
      </c>
      <c r="E14" s="29">
        <v>60</v>
      </c>
      <c r="F14" s="33">
        <f t="shared" si="3"/>
        <v>0.7</v>
      </c>
      <c r="G14" s="34">
        <f t="shared" si="0"/>
        <v>39.273972602739725</v>
      </c>
      <c r="H14" s="35">
        <f t="shared" si="1"/>
        <v>1.5041095890410958</v>
      </c>
      <c r="I14" s="34">
        <f t="shared" si="2"/>
        <v>22.230136986301368</v>
      </c>
      <c r="J14" s="35">
        <f>VLOOKUP(I14,NPAEs!$L$17:$O$23,2,TRUE)</f>
        <v>13.33</v>
      </c>
      <c r="K14" s="36">
        <f t="shared" si="4"/>
        <v>27147.759058417545</v>
      </c>
    </row>
    <row r="15" spans="1:11" ht="19.95" customHeight="1" x14ac:dyDescent="0.25">
      <c r="A15" s="29" t="s">
        <v>23</v>
      </c>
      <c r="B15" s="30" t="s">
        <v>35</v>
      </c>
      <c r="C15" s="31" t="s">
        <v>38</v>
      </c>
      <c r="D15" s="32">
        <v>50000</v>
      </c>
      <c r="E15" s="29">
        <v>55</v>
      </c>
      <c r="F15" s="33">
        <f t="shared" si="3"/>
        <v>0.7</v>
      </c>
      <c r="G15" s="34">
        <f t="shared" si="0"/>
        <v>51.989041095890414</v>
      </c>
      <c r="H15" s="35">
        <f t="shared" si="1"/>
        <v>1.5041095890410958</v>
      </c>
      <c r="I15" s="34">
        <f t="shared" si="2"/>
        <v>4.5150684931506859</v>
      </c>
      <c r="J15" s="35">
        <f>VLOOKUP(I15,NPAEs!$L$17:$O$23,2,TRUE)</f>
        <v>6</v>
      </c>
      <c r="K15" s="36">
        <f t="shared" si="4"/>
        <v>69957.524271844639</v>
      </c>
    </row>
    <row r="16" spans="1:11" ht="19.95" customHeight="1" x14ac:dyDescent="0.25">
      <c r="A16" s="29" t="s">
        <v>24</v>
      </c>
      <c r="B16" s="30" t="s">
        <v>36</v>
      </c>
      <c r="C16" s="31" t="s">
        <v>38</v>
      </c>
      <c r="D16" s="32">
        <v>28000</v>
      </c>
      <c r="E16" s="29">
        <v>60</v>
      </c>
      <c r="F16" s="33">
        <f t="shared" si="3"/>
        <v>0.7</v>
      </c>
      <c r="G16" s="34">
        <f t="shared" si="0"/>
        <v>51.147945205479452</v>
      </c>
      <c r="H16" s="35">
        <f t="shared" si="1"/>
        <v>1.5041095890410958</v>
      </c>
      <c r="I16" s="34">
        <f t="shared" si="2"/>
        <v>10.356164383561641</v>
      </c>
      <c r="J16" s="35">
        <f>VLOOKUP(I16,NPAEs!$L$17:$O$23,2,TRUE)</f>
        <v>10</v>
      </c>
      <c r="K16" s="36">
        <f t="shared" si="4"/>
        <v>28466.666666666672</v>
      </c>
    </row>
    <row r="17" spans="1:11" ht="19.95" customHeight="1" x14ac:dyDescent="0.25">
      <c r="A17" s="29" t="s">
        <v>25</v>
      </c>
      <c r="B17" s="30" t="s">
        <v>37</v>
      </c>
      <c r="C17" s="31" t="s">
        <v>38</v>
      </c>
      <c r="D17" s="32">
        <v>46000</v>
      </c>
      <c r="E17" s="29">
        <v>55</v>
      </c>
      <c r="F17" s="33">
        <f t="shared" si="3"/>
        <v>0.7</v>
      </c>
      <c r="G17" s="34">
        <f t="shared" si="0"/>
        <v>41.145205479452052</v>
      </c>
      <c r="H17" s="35">
        <f t="shared" si="1"/>
        <v>1.5041095890410958</v>
      </c>
      <c r="I17" s="34">
        <f t="shared" si="2"/>
        <v>15.358904109589041</v>
      </c>
      <c r="J17" s="35">
        <f>VLOOKUP(I17,NPAEs!$L$17:$O$23,2,TRUE)</f>
        <v>10</v>
      </c>
      <c r="K17" s="36">
        <f t="shared" si="4"/>
        <v>31533.713877987862</v>
      </c>
    </row>
    <row r="18" spans="1:11" ht="19.95" customHeight="1" x14ac:dyDescent="0.25">
      <c r="A18" s="29" t="s">
        <v>26</v>
      </c>
      <c r="B18" s="30" t="s">
        <v>29</v>
      </c>
      <c r="C18" s="31">
        <v>42644</v>
      </c>
      <c r="D18" s="32">
        <v>44000</v>
      </c>
      <c r="E18" s="29">
        <v>60</v>
      </c>
      <c r="F18" s="33">
        <f t="shared" si="3"/>
        <v>0.7</v>
      </c>
      <c r="G18" s="34">
        <f t="shared" si="0"/>
        <v>32.731506849315068</v>
      </c>
      <c r="H18" s="35">
        <f t="shared" si="1"/>
        <v>0.24931506849315069</v>
      </c>
      <c r="I18" s="34">
        <f t="shared" si="2"/>
        <v>27.517808219178079</v>
      </c>
      <c r="J18" s="35">
        <f>VLOOKUP(I18,NPAEs!$L$17:$O$23,2,TRUE)</f>
        <v>13.33</v>
      </c>
      <c r="K18" s="36">
        <f t="shared" si="4"/>
        <v>3719.7654320987654</v>
      </c>
    </row>
    <row r="19" spans="1:11" ht="19.95" customHeight="1" thickBot="1" x14ac:dyDescent="0.3">
      <c r="A19" s="37" t="s">
        <v>40</v>
      </c>
      <c r="B19" s="43"/>
      <c r="C19" s="44"/>
      <c r="D19" s="38"/>
      <c r="E19" s="37"/>
      <c r="F19" s="38"/>
      <c r="G19" s="37"/>
      <c r="H19" s="38"/>
      <c r="I19" s="37"/>
      <c r="J19" s="38"/>
      <c r="K19" s="39">
        <f>SUM(K10:K18)</f>
        <v>265642.16523922648</v>
      </c>
    </row>
    <row r="20" spans="1:11" ht="19.95" customHeight="1" thickTop="1" x14ac:dyDescent="0.25"/>
  </sheetData>
  <mergeCells count="1">
    <mergeCell ref="F3:G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33863-6AFB-404B-9A3A-E628C8D6BDE2}">
  <dimension ref="A1:K21"/>
  <sheetViews>
    <sheetView topLeftCell="A10" workbookViewId="0">
      <selection activeCell="F8" sqref="F8"/>
    </sheetView>
  </sheetViews>
  <sheetFormatPr defaultRowHeight="19.95" customHeight="1" x14ac:dyDescent="0.25"/>
  <cols>
    <col min="1" max="1" width="13.69921875" style="7" customWidth="1"/>
    <col min="2" max="3" width="13.69921875" style="40" customWidth="1"/>
    <col min="4" max="11" width="13.69921875" style="7" customWidth="1"/>
    <col min="12" max="16384" width="8.796875" style="7"/>
  </cols>
  <sheetData>
    <row r="1" spans="1:11" s="3" customFormat="1" ht="30" customHeight="1" x14ac:dyDescent="0.25">
      <c r="A1" s="4" t="s">
        <v>54</v>
      </c>
      <c r="B1" s="5"/>
      <c r="C1" s="5"/>
    </row>
    <row r="2" spans="1:11" ht="19.95" customHeight="1" x14ac:dyDescent="0.25">
      <c r="B2" s="7"/>
    </row>
    <row r="3" spans="1:11" ht="19.95" customHeight="1" x14ac:dyDescent="0.25">
      <c r="A3" s="48" t="s">
        <v>39</v>
      </c>
      <c r="B3" s="49">
        <v>43100</v>
      </c>
      <c r="C3" s="51" t="s">
        <v>58</v>
      </c>
      <c r="F3" s="61" t="s">
        <v>61</v>
      </c>
      <c r="G3" s="61"/>
    </row>
    <row r="4" spans="1:11" ht="19.95" customHeight="1" x14ac:dyDescent="0.25">
      <c r="F4" s="46" t="s">
        <v>60</v>
      </c>
      <c r="G4" s="52">
        <v>30</v>
      </c>
      <c r="H4" s="50" t="s">
        <v>65</v>
      </c>
    </row>
    <row r="5" spans="1:11" ht="19.95" customHeight="1" x14ac:dyDescent="0.25">
      <c r="F5" s="46" t="s">
        <v>63</v>
      </c>
      <c r="G5" s="52">
        <v>100</v>
      </c>
      <c r="H5" s="50" t="s">
        <v>64</v>
      </c>
    </row>
    <row r="6" spans="1:11" ht="19.95" customHeight="1" x14ac:dyDescent="0.25">
      <c r="B6" s="7"/>
      <c r="F6" s="46" t="s">
        <v>59</v>
      </c>
      <c r="G6" s="59">
        <f>IFERROR(G4/G5,0)</f>
        <v>0.3</v>
      </c>
    </row>
    <row r="7" spans="1:11" ht="19.95" customHeight="1" x14ac:dyDescent="0.25">
      <c r="B7" s="2" t="s">
        <v>62</v>
      </c>
      <c r="F7" s="7" t="s">
        <v>76</v>
      </c>
      <c r="H7" s="7" t="s">
        <v>73</v>
      </c>
    </row>
    <row r="8" spans="1:11" ht="19.95" customHeight="1" x14ac:dyDescent="0.25">
      <c r="A8" s="7" t="s">
        <v>9</v>
      </c>
    </row>
    <row r="9" spans="1:11" s="28" customFormat="1" ht="38.549999999999997" customHeight="1" x14ac:dyDescent="0.25">
      <c r="A9" s="26" t="s">
        <v>10</v>
      </c>
      <c r="B9" s="41" t="s">
        <v>11</v>
      </c>
      <c r="C9" s="42" t="s">
        <v>12</v>
      </c>
      <c r="D9" s="27" t="s">
        <v>14</v>
      </c>
      <c r="E9" s="26" t="s">
        <v>13</v>
      </c>
      <c r="F9" s="27" t="s">
        <v>71</v>
      </c>
      <c r="G9" s="26" t="s">
        <v>72</v>
      </c>
      <c r="H9" s="27" t="s">
        <v>15</v>
      </c>
      <c r="I9" s="26" t="s">
        <v>16</v>
      </c>
      <c r="J9" s="27" t="s">
        <v>17</v>
      </c>
      <c r="K9" s="26" t="str">
        <f>"ภาระผูกพัน ณ"&amp;CHAR(10)&amp;TEXT(B3,"dd mmmm yyyy")</f>
        <v>ภาระผูกพัน ณ
31 ธันวาคม 2017</v>
      </c>
    </row>
    <row r="10" spans="1:11" ht="19.95" customHeight="1" x14ac:dyDescent="0.25">
      <c r="A10" s="29" t="s">
        <v>18</v>
      </c>
      <c r="B10" s="30" t="s">
        <v>28</v>
      </c>
      <c r="C10" s="31" t="s">
        <v>38</v>
      </c>
      <c r="D10" s="32">
        <v>44000</v>
      </c>
      <c r="E10" s="29">
        <v>60</v>
      </c>
      <c r="F10" s="33">
        <f>1-$G$6</f>
        <v>0.7</v>
      </c>
      <c r="G10" s="34">
        <f t="shared" ref="G10:G19" si="0">YEARFRAC(B10,$B$3,3)</f>
        <v>22.682191780821917</v>
      </c>
      <c r="H10" s="35">
        <f t="shared" ref="H10:H19" si="1">YEARFRAC(C10,$B$3,3)</f>
        <v>2.504109589041096</v>
      </c>
      <c r="I10" s="34">
        <f t="shared" ref="I10:I19" si="2">E10-YEARFRAC(B10,C10,3)</f>
        <v>39.821917808219183</v>
      </c>
      <c r="J10" s="35">
        <f>VLOOKUP(I10,NPAEs!$L$17:$O$23,2,TRUE)</f>
        <v>13.33</v>
      </c>
      <c r="K10" s="36">
        <f t="shared" ref="K10:K19" si="3">IFERROR(D10*F10*J10*H10/I10,0)</f>
        <v>25817.371585827306</v>
      </c>
    </row>
    <row r="11" spans="1:11" ht="19.95" customHeight="1" x14ac:dyDescent="0.25">
      <c r="A11" s="29" t="s">
        <v>19</v>
      </c>
      <c r="B11" s="30" t="s">
        <v>30</v>
      </c>
      <c r="C11" s="31" t="s">
        <v>38</v>
      </c>
      <c r="D11" s="32">
        <v>48000</v>
      </c>
      <c r="E11" s="29">
        <v>57</v>
      </c>
      <c r="F11" s="33">
        <f t="shared" ref="F11:F19" si="4">1-$G$6</f>
        <v>0.7</v>
      </c>
      <c r="G11" s="34">
        <f t="shared" si="0"/>
        <v>52.608219178082194</v>
      </c>
      <c r="H11" s="35">
        <f t="shared" si="1"/>
        <v>2.504109589041096</v>
      </c>
      <c r="I11" s="34">
        <f t="shared" si="2"/>
        <v>6.8958904109589056</v>
      </c>
      <c r="J11" s="35">
        <f>VLOOKUP(I11,NPAEs!$L$17:$O$23,2,TRUE)</f>
        <v>8</v>
      </c>
      <c r="K11" s="36">
        <f t="shared" si="3"/>
        <v>97609.535160905813</v>
      </c>
    </row>
    <row r="12" spans="1:11" ht="19.95" customHeight="1" x14ac:dyDescent="0.25">
      <c r="A12" s="29" t="s">
        <v>20</v>
      </c>
      <c r="B12" s="30" t="s">
        <v>31</v>
      </c>
      <c r="C12" s="31" t="s">
        <v>38</v>
      </c>
      <c r="D12" s="32">
        <v>33000</v>
      </c>
      <c r="E12" s="29">
        <v>55</v>
      </c>
      <c r="F12" s="33">
        <f t="shared" si="4"/>
        <v>0.7</v>
      </c>
      <c r="G12" s="34">
        <f t="shared" si="0"/>
        <v>21.526027397260275</v>
      </c>
      <c r="H12" s="35">
        <f t="shared" si="1"/>
        <v>2.504109589041096</v>
      </c>
      <c r="I12" s="34">
        <f t="shared" si="2"/>
        <v>35.978082191780821</v>
      </c>
      <c r="J12" s="35">
        <f>VLOOKUP(I12,NPAEs!$L$17:$O$23,2,TRUE)</f>
        <v>13.33</v>
      </c>
      <c r="K12" s="36">
        <f t="shared" si="3"/>
        <v>21431.740938166313</v>
      </c>
    </row>
    <row r="13" spans="1:11" ht="19.95" customHeight="1" x14ac:dyDescent="0.25">
      <c r="A13" s="29" t="s">
        <v>21</v>
      </c>
      <c r="B13" s="30" t="s">
        <v>32</v>
      </c>
      <c r="C13" s="31" t="s">
        <v>38</v>
      </c>
      <c r="D13" s="32">
        <v>45000</v>
      </c>
      <c r="E13" s="29">
        <v>60</v>
      </c>
      <c r="F13" s="33">
        <f t="shared" si="4"/>
        <v>0.7</v>
      </c>
      <c r="G13" s="34">
        <f t="shared" si="0"/>
        <v>27.035616438356165</v>
      </c>
      <c r="H13" s="35">
        <f t="shared" si="1"/>
        <v>2.504109589041096</v>
      </c>
      <c r="I13" s="34">
        <f t="shared" si="2"/>
        <v>35.468493150684935</v>
      </c>
      <c r="J13" s="35">
        <f>VLOOKUP(I13,NPAEs!$L$17:$O$23,2,TRUE)</f>
        <v>13.33</v>
      </c>
      <c r="K13" s="36">
        <f t="shared" si="3"/>
        <v>29644.989185848906</v>
      </c>
    </row>
    <row r="14" spans="1:11" ht="19.95" customHeight="1" x14ac:dyDescent="0.25">
      <c r="A14" s="29" t="s">
        <v>22</v>
      </c>
      <c r="B14" s="30" t="s">
        <v>34</v>
      </c>
      <c r="C14" s="31" t="s">
        <v>38</v>
      </c>
      <c r="D14" s="32">
        <v>43000</v>
      </c>
      <c r="E14" s="29">
        <v>60</v>
      </c>
      <c r="F14" s="33">
        <f t="shared" si="4"/>
        <v>0.7</v>
      </c>
      <c r="G14" s="34">
        <f t="shared" si="0"/>
        <v>40.273972602739725</v>
      </c>
      <c r="H14" s="35">
        <f t="shared" si="1"/>
        <v>2.504109589041096</v>
      </c>
      <c r="I14" s="34">
        <f t="shared" si="2"/>
        <v>22.230136986301368</v>
      </c>
      <c r="J14" s="35">
        <f>VLOOKUP(I14,NPAEs!$L$17:$O$23,2,TRUE)</f>
        <v>13.33</v>
      </c>
      <c r="K14" s="36">
        <f t="shared" si="3"/>
        <v>45196.815627310818</v>
      </c>
    </row>
    <row r="15" spans="1:11" ht="19.95" customHeight="1" x14ac:dyDescent="0.25">
      <c r="A15" s="29" t="s">
        <v>23</v>
      </c>
      <c r="B15" s="30" t="s">
        <v>35</v>
      </c>
      <c r="C15" s="31" t="s">
        <v>38</v>
      </c>
      <c r="D15" s="32">
        <v>50000</v>
      </c>
      <c r="E15" s="29">
        <v>55</v>
      </c>
      <c r="F15" s="33">
        <f t="shared" si="4"/>
        <v>0.7</v>
      </c>
      <c r="G15" s="34">
        <f t="shared" si="0"/>
        <v>52.989041095890414</v>
      </c>
      <c r="H15" s="35">
        <f t="shared" si="1"/>
        <v>2.504109589041096</v>
      </c>
      <c r="I15" s="34">
        <f t="shared" si="2"/>
        <v>4.5150684931506859</v>
      </c>
      <c r="J15" s="35">
        <f>VLOOKUP(I15,NPAEs!$L$17:$O$23,2,TRUE)</f>
        <v>6</v>
      </c>
      <c r="K15" s="36">
        <f t="shared" si="3"/>
        <v>116468.44660194173</v>
      </c>
    </row>
    <row r="16" spans="1:11" ht="19.95" customHeight="1" x14ac:dyDescent="0.25">
      <c r="A16" s="29" t="s">
        <v>24</v>
      </c>
      <c r="B16" s="30" t="s">
        <v>36</v>
      </c>
      <c r="C16" s="31" t="s">
        <v>38</v>
      </c>
      <c r="D16" s="32">
        <v>28000</v>
      </c>
      <c r="E16" s="29">
        <v>60</v>
      </c>
      <c r="F16" s="33">
        <f t="shared" si="4"/>
        <v>0.7</v>
      </c>
      <c r="G16" s="34">
        <f t="shared" si="0"/>
        <v>52.147945205479452</v>
      </c>
      <c r="H16" s="35">
        <f t="shared" si="1"/>
        <v>2.504109589041096</v>
      </c>
      <c r="I16" s="34">
        <f t="shared" si="2"/>
        <v>10.356164383561641</v>
      </c>
      <c r="J16" s="35">
        <f>VLOOKUP(I16,NPAEs!$L$17:$O$23,2,TRUE)</f>
        <v>10</v>
      </c>
      <c r="K16" s="36">
        <f t="shared" si="3"/>
        <v>47392.592592592613</v>
      </c>
    </row>
    <row r="17" spans="1:11" ht="19.95" customHeight="1" x14ac:dyDescent="0.25">
      <c r="A17" s="29" t="s">
        <v>25</v>
      </c>
      <c r="B17" s="30" t="s">
        <v>37</v>
      </c>
      <c r="C17" s="31" t="s">
        <v>38</v>
      </c>
      <c r="D17" s="32">
        <v>46000</v>
      </c>
      <c r="E17" s="29">
        <v>55</v>
      </c>
      <c r="F17" s="33">
        <f t="shared" si="4"/>
        <v>0.7</v>
      </c>
      <c r="G17" s="34">
        <f t="shared" si="0"/>
        <v>42.145205479452052</v>
      </c>
      <c r="H17" s="35">
        <f t="shared" si="1"/>
        <v>2.504109589041096</v>
      </c>
      <c r="I17" s="34">
        <f t="shared" si="2"/>
        <v>15.358904109589041</v>
      </c>
      <c r="J17" s="35">
        <f>VLOOKUP(I17,NPAEs!$L$17:$O$23,2,TRUE)</f>
        <v>10</v>
      </c>
      <c r="K17" s="36">
        <f t="shared" si="3"/>
        <v>52498.7513378523</v>
      </c>
    </row>
    <row r="18" spans="1:11" ht="19.95" customHeight="1" x14ac:dyDescent="0.25">
      <c r="A18" s="29" t="s">
        <v>26</v>
      </c>
      <c r="B18" s="30" t="s">
        <v>29</v>
      </c>
      <c r="C18" s="31">
        <v>42644</v>
      </c>
      <c r="D18" s="32">
        <v>44000</v>
      </c>
      <c r="E18" s="29">
        <v>60</v>
      </c>
      <c r="F18" s="33">
        <f t="shared" si="4"/>
        <v>0.7</v>
      </c>
      <c r="G18" s="34">
        <f t="shared" si="0"/>
        <v>33.731506849315068</v>
      </c>
      <c r="H18" s="35">
        <f t="shared" si="1"/>
        <v>1.2493150684931507</v>
      </c>
      <c r="I18" s="34">
        <f t="shared" si="2"/>
        <v>27.517808219178079</v>
      </c>
      <c r="J18" s="35">
        <f>VLOOKUP(I18,NPAEs!$L$17:$O$23,2,TRUE)</f>
        <v>13.33</v>
      </c>
      <c r="K18" s="36">
        <f t="shared" si="3"/>
        <v>18639.703703703704</v>
      </c>
    </row>
    <row r="19" spans="1:11" ht="19.95" customHeight="1" x14ac:dyDescent="0.25">
      <c r="A19" s="29" t="s">
        <v>27</v>
      </c>
      <c r="B19" s="30" t="s">
        <v>33</v>
      </c>
      <c r="C19" s="31">
        <v>42953</v>
      </c>
      <c r="D19" s="32">
        <v>20000</v>
      </c>
      <c r="E19" s="29">
        <v>60</v>
      </c>
      <c r="F19" s="33">
        <f t="shared" si="4"/>
        <v>0.7</v>
      </c>
      <c r="G19" s="34">
        <f t="shared" si="0"/>
        <v>19.923287671232877</v>
      </c>
      <c r="H19" s="35">
        <f t="shared" si="1"/>
        <v>0.40273972602739727</v>
      </c>
      <c r="I19" s="34">
        <f t="shared" si="2"/>
        <v>40.479452054794521</v>
      </c>
      <c r="J19" s="35">
        <f>VLOOKUP(I19,NPAEs!$L$17:$O$23,2,TRUE)</f>
        <v>13.33</v>
      </c>
      <c r="K19" s="36">
        <f t="shared" si="3"/>
        <v>1856.7269035532993</v>
      </c>
    </row>
    <row r="20" spans="1:11" ht="19.95" customHeight="1" thickBot="1" x14ac:dyDescent="0.3">
      <c r="A20" s="37" t="s">
        <v>40</v>
      </c>
      <c r="B20" s="43"/>
      <c r="C20" s="44"/>
      <c r="D20" s="38"/>
      <c r="E20" s="37"/>
      <c r="F20" s="38"/>
      <c r="G20" s="37"/>
      <c r="H20" s="38"/>
      <c r="I20" s="37"/>
      <c r="J20" s="38"/>
      <c r="K20" s="39">
        <f>SUM(K10:K19)</f>
        <v>456556.67363770277</v>
      </c>
    </row>
    <row r="21" spans="1:11" ht="19.95" customHeight="1" thickTop="1" x14ac:dyDescent="0.25"/>
  </sheetData>
  <mergeCells count="1">
    <mergeCell ref="F3:G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62BC9-0C30-47FA-9827-E2AC64BB1E91}">
  <dimension ref="A1:K20"/>
  <sheetViews>
    <sheetView workbookViewId="0">
      <selection activeCell="F16" sqref="F16"/>
    </sheetView>
  </sheetViews>
  <sheetFormatPr defaultRowHeight="19.95" customHeight="1" x14ac:dyDescent="0.25"/>
  <cols>
    <col min="1" max="1" width="13.69921875" style="7" customWidth="1"/>
    <col min="2" max="3" width="13.69921875" style="40" customWidth="1"/>
    <col min="4" max="11" width="13.69921875" style="7" customWidth="1"/>
    <col min="12" max="16384" width="8.796875" style="7"/>
  </cols>
  <sheetData>
    <row r="1" spans="1:11" s="3" customFormat="1" ht="30" customHeight="1" x14ac:dyDescent="0.25">
      <c r="A1" s="4" t="s">
        <v>54</v>
      </c>
      <c r="B1" s="5"/>
      <c r="C1" s="5"/>
    </row>
    <row r="2" spans="1:11" ht="19.95" customHeight="1" x14ac:dyDescent="0.25">
      <c r="B2" s="7"/>
    </row>
    <row r="3" spans="1:11" ht="19.95" customHeight="1" x14ac:dyDescent="0.25">
      <c r="A3" s="48" t="s">
        <v>39</v>
      </c>
      <c r="B3" s="49">
        <v>43465</v>
      </c>
      <c r="C3" s="51" t="s">
        <v>58</v>
      </c>
      <c r="F3" s="61" t="s">
        <v>61</v>
      </c>
      <c r="G3" s="61"/>
    </row>
    <row r="4" spans="1:11" ht="19.95" customHeight="1" x14ac:dyDescent="0.25">
      <c r="F4" s="46" t="s">
        <v>60</v>
      </c>
      <c r="G4" s="52">
        <v>30</v>
      </c>
      <c r="H4" s="50" t="s">
        <v>65</v>
      </c>
    </row>
    <row r="5" spans="1:11" ht="19.95" customHeight="1" x14ac:dyDescent="0.25">
      <c r="F5" s="46" t="s">
        <v>63</v>
      </c>
      <c r="G5" s="52">
        <v>100</v>
      </c>
      <c r="H5" s="50" t="s">
        <v>64</v>
      </c>
    </row>
    <row r="6" spans="1:11" ht="19.95" customHeight="1" x14ac:dyDescent="0.25">
      <c r="B6" s="7"/>
      <c r="F6" s="46" t="s">
        <v>59</v>
      </c>
      <c r="G6" s="59">
        <f>IFERROR(G4/G5,0)</f>
        <v>0.3</v>
      </c>
    </row>
    <row r="7" spans="1:11" ht="19.95" customHeight="1" x14ac:dyDescent="0.25">
      <c r="B7" s="2" t="s">
        <v>62</v>
      </c>
      <c r="F7" s="7" t="s">
        <v>76</v>
      </c>
      <c r="H7" s="7" t="s">
        <v>73</v>
      </c>
    </row>
    <row r="8" spans="1:11" ht="19.95" customHeight="1" x14ac:dyDescent="0.25">
      <c r="A8" s="7" t="s">
        <v>9</v>
      </c>
    </row>
    <row r="9" spans="1:11" s="28" customFormat="1" ht="38.549999999999997" customHeight="1" x14ac:dyDescent="0.25">
      <c r="A9" s="26" t="s">
        <v>10</v>
      </c>
      <c r="B9" s="41" t="s">
        <v>11</v>
      </c>
      <c r="C9" s="42" t="s">
        <v>12</v>
      </c>
      <c r="D9" s="27" t="s">
        <v>14</v>
      </c>
      <c r="E9" s="26" t="s">
        <v>13</v>
      </c>
      <c r="F9" s="27" t="s">
        <v>71</v>
      </c>
      <c r="G9" s="26" t="s">
        <v>72</v>
      </c>
      <c r="H9" s="27" t="s">
        <v>15</v>
      </c>
      <c r="I9" s="26" t="s">
        <v>16</v>
      </c>
      <c r="J9" s="27" t="s">
        <v>17</v>
      </c>
      <c r="K9" s="26" t="str">
        <f>"ภาระผูกพัน ณ"&amp;CHAR(10)&amp;TEXT(B3,"dd mmmm yyyy")</f>
        <v>ภาระผูกพัน ณ
31 ธันวาคม 2018</v>
      </c>
    </row>
    <row r="10" spans="1:11" ht="19.95" customHeight="1" x14ac:dyDescent="0.25">
      <c r="A10" s="29" t="s">
        <v>19</v>
      </c>
      <c r="B10" s="30" t="s">
        <v>30</v>
      </c>
      <c r="C10" s="31" t="s">
        <v>38</v>
      </c>
      <c r="D10" s="32">
        <v>48000</v>
      </c>
      <c r="E10" s="29">
        <v>57</v>
      </c>
      <c r="F10" s="33">
        <f>1-$G$6</f>
        <v>0.7</v>
      </c>
      <c r="G10" s="34">
        <f t="shared" ref="G10:G18" si="0">YEARFRAC(B10,$B$3,3)</f>
        <v>53.608219178082194</v>
      </c>
      <c r="H10" s="35">
        <f t="shared" ref="H10:H18" si="1">YEARFRAC(C10,$B$3,3)</f>
        <v>3.504109589041096</v>
      </c>
      <c r="I10" s="34">
        <f t="shared" ref="I10:I18" si="2">E10-YEARFRAC(B10,C10,3)</f>
        <v>6.8958904109589056</v>
      </c>
      <c r="J10" s="35">
        <f>VLOOKUP(I10,NPAEs!$L$17:$O$23,2,TRUE)</f>
        <v>8</v>
      </c>
      <c r="K10" s="36">
        <f t="shared" ref="K10:K18" si="3">IFERROR(D10*F10*J10*H10/I10,0)</f>
        <v>136589.2729439809</v>
      </c>
    </row>
    <row r="11" spans="1:11" ht="19.95" customHeight="1" x14ac:dyDescent="0.25">
      <c r="A11" s="29" t="s">
        <v>20</v>
      </c>
      <c r="B11" s="30" t="s">
        <v>31</v>
      </c>
      <c r="C11" s="31" t="s">
        <v>38</v>
      </c>
      <c r="D11" s="32">
        <v>33000</v>
      </c>
      <c r="E11" s="29">
        <v>55</v>
      </c>
      <c r="F11" s="33">
        <f t="shared" ref="F11:F18" si="4">1-$G$6</f>
        <v>0.7</v>
      </c>
      <c r="G11" s="34">
        <f t="shared" si="0"/>
        <v>22.526027397260275</v>
      </c>
      <c r="H11" s="35">
        <f t="shared" si="1"/>
        <v>3.504109589041096</v>
      </c>
      <c r="I11" s="34">
        <f t="shared" si="2"/>
        <v>35.978082191780821</v>
      </c>
      <c r="J11" s="35">
        <f>VLOOKUP(I11,NPAEs!$L$17:$O$23,2,TRUE)</f>
        <v>13.33</v>
      </c>
      <c r="K11" s="36">
        <f t="shared" si="3"/>
        <v>29990.368336886993</v>
      </c>
    </row>
    <row r="12" spans="1:11" ht="19.95" customHeight="1" x14ac:dyDescent="0.25">
      <c r="A12" s="29" t="s">
        <v>21</v>
      </c>
      <c r="B12" s="30" t="s">
        <v>32</v>
      </c>
      <c r="C12" s="31" t="s">
        <v>38</v>
      </c>
      <c r="D12" s="32">
        <v>45000</v>
      </c>
      <c r="E12" s="29">
        <v>60</v>
      </c>
      <c r="F12" s="33">
        <f t="shared" si="4"/>
        <v>0.7</v>
      </c>
      <c r="G12" s="34">
        <f t="shared" si="0"/>
        <v>28.035616438356165</v>
      </c>
      <c r="H12" s="35">
        <f t="shared" si="1"/>
        <v>3.504109589041096</v>
      </c>
      <c r="I12" s="34">
        <f t="shared" si="2"/>
        <v>35.468493150684935</v>
      </c>
      <c r="J12" s="35">
        <f>VLOOKUP(I12,NPAEs!$L$17:$O$23,2,TRUE)</f>
        <v>13.33</v>
      </c>
      <c r="K12" s="36">
        <f t="shared" si="3"/>
        <v>41483.524254596006</v>
      </c>
    </row>
    <row r="13" spans="1:11" ht="19.95" customHeight="1" x14ac:dyDescent="0.25">
      <c r="A13" s="29" t="s">
        <v>22</v>
      </c>
      <c r="B13" s="30" t="s">
        <v>34</v>
      </c>
      <c r="C13" s="31" t="s">
        <v>38</v>
      </c>
      <c r="D13" s="32">
        <v>43000</v>
      </c>
      <c r="E13" s="29">
        <v>60</v>
      </c>
      <c r="F13" s="33">
        <f t="shared" si="4"/>
        <v>0.7</v>
      </c>
      <c r="G13" s="34">
        <f t="shared" si="0"/>
        <v>41.273972602739725</v>
      </c>
      <c r="H13" s="35">
        <f t="shared" si="1"/>
        <v>3.504109589041096</v>
      </c>
      <c r="I13" s="34">
        <f t="shared" si="2"/>
        <v>22.230136986301368</v>
      </c>
      <c r="J13" s="35">
        <f>VLOOKUP(I13,NPAEs!$L$17:$O$23,2,TRUE)</f>
        <v>13.33</v>
      </c>
      <c r="K13" s="36">
        <f t="shared" si="3"/>
        <v>63245.872196204087</v>
      </c>
    </row>
    <row r="14" spans="1:11" ht="19.95" customHeight="1" x14ac:dyDescent="0.25">
      <c r="A14" s="29" t="s">
        <v>23</v>
      </c>
      <c r="B14" s="30" t="s">
        <v>35</v>
      </c>
      <c r="C14" s="31" t="s">
        <v>38</v>
      </c>
      <c r="D14" s="32">
        <v>50000</v>
      </c>
      <c r="E14" s="29">
        <v>55</v>
      </c>
      <c r="F14" s="33">
        <f t="shared" si="4"/>
        <v>0.7</v>
      </c>
      <c r="G14" s="34">
        <f t="shared" si="0"/>
        <v>53.989041095890414</v>
      </c>
      <c r="H14" s="35">
        <f t="shared" si="1"/>
        <v>3.504109589041096</v>
      </c>
      <c r="I14" s="34">
        <f t="shared" si="2"/>
        <v>4.5150684931506859</v>
      </c>
      <c r="J14" s="35">
        <f>VLOOKUP(I14,NPAEs!$L$17:$O$23,2,TRUE)</f>
        <v>6</v>
      </c>
      <c r="K14" s="36">
        <f t="shared" si="3"/>
        <v>162979.36893203881</v>
      </c>
    </row>
    <row r="15" spans="1:11" ht="19.95" customHeight="1" x14ac:dyDescent="0.25">
      <c r="A15" s="29" t="s">
        <v>24</v>
      </c>
      <c r="B15" s="30" t="s">
        <v>36</v>
      </c>
      <c r="C15" s="31" t="s">
        <v>38</v>
      </c>
      <c r="D15" s="32">
        <v>28000</v>
      </c>
      <c r="E15" s="29">
        <v>60</v>
      </c>
      <c r="F15" s="33">
        <f t="shared" si="4"/>
        <v>0.7</v>
      </c>
      <c r="G15" s="34">
        <f t="shared" si="0"/>
        <v>53.147945205479452</v>
      </c>
      <c r="H15" s="35">
        <f t="shared" si="1"/>
        <v>3.504109589041096</v>
      </c>
      <c r="I15" s="34">
        <f t="shared" si="2"/>
        <v>10.356164383561641</v>
      </c>
      <c r="J15" s="35">
        <f>VLOOKUP(I15,NPAEs!$L$17:$O$23,2,TRUE)</f>
        <v>10</v>
      </c>
      <c r="K15" s="36">
        <f t="shared" si="3"/>
        <v>66318.51851851854</v>
      </c>
    </row>
    <row r="16" spans="1:11" ht="19.95" customHeight="1" x14ac:dyDescent="0.25">
      <c r="A16" s="29" t="s">
        <v>25</v>
      </c>
      <c r="B16" s="30" t="s">
        <v>37</v>
      </c>
      <c r="C16" s="31" t="s">
        <v>38</v>
      </c>
      <c r="D16" s="32">
        <v>46000</v>
      </c>
      <c r="E16" s="29">
        <v>55</v>
      </c>
      <c r="F16" s="33">
        <f t="shared" si="4"/>
        <v>0.7</v>
      </c>
      <c r="G16" s="34">
        <f t="shared" si="0"/>
        <v>43.145205479452052</v>
      </c>
      <c r="H16" s="35">
        <f t="shared" si="1"/>
        <v>3.504109589041096</v>
      </c>
      <c r="I16" s="34">
        <f t="shared" si="2"/>
        <v>15.358904109589041</v>
      </c>
      <c r="J16" s="35">
        <f>VLOOKUP(I16,NPAEs!$L$17:$O$23,2,TRUE)</f>
        <v>10</v>
      </c>
      <c r="K16" s="36">
        <f t="shared" si="3"/>
        <v>73463.788797716727</v>
      </c>
    </row>
    <row r="17" spans="1:11" ht="19.95" customHeight="1" x14ac:dyDescent="0.25">
      <c r="A17" s="29" t="s">
        <v>26</v>
      </c>
      <c r="B17" s="30" t="s">
        <v>29</v>
      </c>
      <c r="C17" s="31">
        <v>42644</v>
      </c>
      <c r="D17" s="32">
        <v>44000</v>
      </c>
      <c r="E17" s="29">
        <v>60</v>
      </c>
      <c r="F17" s="33">
        <f t="shared" si="4"/>
        <v>0.7</v>
      </c>
      <c r="G17" s="34">
        <f t="shared" si="0"/>
        <v>34.731506849315068</v>
      </c>
      <c r="H17" s="35">
        <f t="shared" si="1"/>
        <v>2.2493150684931509</v>
      </c>
      <c r="I17" s="34">
        <f t="shared" si="2"/>
        <v>27.517808219178079</v>
      </c>
      <c r="J17" s="35">
        <f>VLOOKUP(I17,NPAEs!$L$17:$O$23,2,TRUE)</f>
        <v>13.33</v>
      </c>
      <c r="K17" s="36">
        <f t="shared" si="3"/>
        <v>33559.641975308645</v>
      </c>
    </row>
    <row r="18" spans="1:11" ht="19.95" customHeight="1" x14ac:dyDescent="0.25">
      <c r="A18" s="29" t="s">
        <v>27</v>
      </c>
      <c r="B18" s="30" t="s">
        <v>33</v>
      </c>
      <c r="C18" s="31">
        <v>42953</v>
      </c>
      <c r="D18" s="32">
        <v>20000</v>
      </c>
      <c r="E18" s="29">
        <v>60</v>
      </c>
      <c r="F18" s="33">
        <f t="shared" si="4"/>
        <v>0.7</v>
      </c>
      <c r="G18" s="34">
        <f t="shared" si="0"/>
        <v>20.923287671232877</v>
      </c>
      <c r="H18" s="35">
        <f t="shared" si="1"/>
        <v>1.4027397260273973</v>
      </c>
      <c r="I18" s="34">
        <f t="shared" si="2"/>
        <v>40.479452054794521</v>
      </c>
      <c r="J18" s="35">
        <f>VLOOKUP(I18,NPAEs!$L$17:$O$23,2,TRUE)</f>
        <v>13.33</v>
      </c>
      <c r="K18" s="36">
        <f t="shared" si="3"/>
        <v>6466.9671742808796</v>
      </c>
    </row>
    <row r="19" spans="1:11" ht="19.95" customHeight="1" thickBot="1" x14ac:dyDescent="0.3">
      <c r="A19" s="37" t="s">
        <v>40</v>
      </c>
      <c r="B19" s="43"/>
      <c r="C19" s="44"/>
      <c r="D19" s="38"/>
      <c r="E19" s="37"/>
      <c r="F19" s="38"/>
      <c r="G19" s="37"/>
      <c r="H19" s="38"/>
      <c r="I19" s="37"/>
      <c r="J19" s="38"/>
      <c r="K19" s="39">
        <f>SUM(K10:K18)</f>
        <v>614097.32312953158</v>
      </c>
    </row>
    <row r="20" spans="1:11" ht="19.95" customHeight="1" thickTop="1" x14ac:dyDescent="0.25"/>
  </sheetData>
  <sheetProtection formatCells="0" formatRows="0" insertRows="0" deleteRows="0" sort="0" autoFilter="0" pivotTables="0"/>
  <mergeCells count="1">
    <mergeCell ref="F3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NPAEs</vt:lpstr>
      <vt:lpstr>2015</vt:lpstr>
      <vt:lpstr>2016</vt:lpstr>
      <vt:lpstr>2017</vt:lpstr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2019-04-03T09:05:26Z</dcterms:created>
  <dcterms:modified xsi:type="dcterms:W3CDTF">2019-04-09T03:13:47Z</dcterms:modified>
</cp:coreProperties>
</file>